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BUKU2019\IFLOOKUP\BUKU IF VLOOKUP\DISK\"/>
    </mc:Choice>
  </mc:AlternateContent>
  <bookViews>
    <workbookView xWindow="0" yWindow="0" windowWidth="20490" windowHeight="7005"/>
  </bookViews>
  <sheets>
    <sheet name="KASUS" sheetId="2" r:id="rId1"/>
    <sheet name="LATIH" sheetId="4" r:id="rId2"/>
  </sheets>
  <definedNames>
    <definedName name="Bagi" localSheetId="0">KASUS!$L$4:$M$7</definedName>
    <definedName name="Bagi" localSheetId="1">LATIH!$L$4:$M$7</definedName>
    <definedName name="Bagi2" localSheetId="0">KASUS!$BR$6:$BS$13</definedName>
    <definedName name="Bagi2" localSheetId="1">LATIH!$BR$6:$BS$13</definedName>
    <definedName name="Kursi" localSheetId="0">KASUS!$T$17:$AA$21</definedName>
    <definedName name="Kursi" localSheetId="1">LATIH!$T$17:$AA$21</definedName>
    <definedName name="Kursi2" localSheetId="0">KASUS!$BU$8:$CD$21</definedName>
    <definedName name="Kursi2" localSheetId="1">LATIH!$BU$8:$CD$21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22" i="4" l="1"/>
  <c r="AF22" i="4"/>
  <c r="U21" i="4"/>
  <c r="E21" i="4"/>
  <c r="AE20" i="4"/>
  <c r="U20" i="4"/>
  <c r="D20" i="4"/>
  <c r="AE19" i="4"/>
  <c r="U19" i="4"/>
  <c r="E19" i="4"/>
  <c r="AD18" i="4"/>
  <c r="U18" i="4"/>
  <c r="E18" i="4"/>
  <c r="AE17" i="4"/>
  <c r="U17" i="4"/>
  <c r="E17" i="4"/>
  <c r="AQ16" i="4"/>
  <c r="AM16" i="4"/>
  <c r="E16" i="4"/>
  <c r="AS15" i="4"/>
  <c r="AK15" i="4"/>
  <c r="Y15" i="4"/>
  <c r="E15" i="4"/>
  <c r="BC14" i="4"/>
  <c r="Y14" i="4"/>
  <c r="E14" i="4"/>
  <c r="BL13" i="4"/>
  <c r="BK13" i="4"/>
  <c r="BV15" i="4" s="1"/>
  <c r="BD13" i="4"/>
  <c r="E13" i="4"/>
  <c r="BV12" i="4"/>
  <c r="BL12" i="4"/>
  <c r="BK12" i="4"/>
  <c r="BV14" i="4" s="1"/>
  <c r="BD12" i="4"/>
  <c r="E12" i="4"/>
  <c r="CB11" i="4"/>
  <c r="BX11" i="4"/>
  <c r="BL11" i="4"/>
  <c r="BK11" i="4"/>
  <c r="BV13" i="4" s="1"/>
  <c r="BD11" i="4"/>
  <c r="AN11" i="4"/>
  <c r="AF11" i="4"/>
  <c r="Q11" i="4"/>
  <c r="I11" i="4"/>
  <c r="E11" i="4"/>
  <c r="BL10" i="4"/>
  <c r="BK10" i="4"/>
  <c r="BD10" i="4"/>
  <c r="AM10" i="4"/>
  <c r="AF10" i="4"/>
  <c r="AE10" i="4"/>
  <c r="AE21" i="4" s="1"/>
  <c r="AD10" i="4"/>
  <c r="AD21" i="4" s="1"/>
  <c r="AL10" i="4" s="1"/>
  <c r="I10" i="4"/>
  <c r="E10" i="4"/>
  <c r="CC9" i="4"/>
  <c r="BY9" i="4"/>
  <c r="BV9" i="4"/>
  <c r="BL9" i="4"/>
  <c r="BK9" i="4"/>
  <c r="BV11" i="4" s="1"/>
  <c r="BD9" i="4"/>
  <c r="AM9" i="4"/>
  <c r="AF9" i="4"/>
  <c r="AE9" i="4"/>
  <c r="AD9" i="4"/>
  <c r="AD20" i="4" s="1"/>
  <c r="AL9" i="4" s="1"/>
  <c r="T9" i="4"/>
  <c r="T10" i="4" s="1"/>
  <c r="T11" i="4" s="1"/>
  <c r="I9" i="4"/>
  <c r="E9" i="4"/>
  <c r="BL8" i="4"/>
  <c r="BK8" i="4"/>
  <c r="BV10" i="4" s="1"/>
  <c r="BD8" i="4"/>
  <c r="AM8" i="4"/>
  <c r="AF8" i="4"/>
  <c r="AE8" i="4"/>
  <c r="AD8" i="4"/>
  <c r="AD19" i="4" s="1"/>
  <c r="AL8" i="4" s="1"/>
  <c r="E8" i="4"/>
  <c r="BL7" i="4"/>
  <c r="BK7" i="4"/>
  <c r="BD7" i="4"/>
  <c r="AL7" i="4"/>
  <c r="AF7" i="4"/>
  <c r="AE7" i="4"/>
  <c r="AE18" i="4" s="1"/>
  <c r="AM7" i="4" s="1"/>
  <c r="AM18" i="4" s="1"/>
  <c r="AD7" i="4"/>
  <c r="E7" i="4"/>
  <c r="BL6" i="4"/>
  <c r="BL14" i="4" s="1"/>
  <c r="BK6" i="4"/>
  <c r="BV8" i="4" s="1"/>
  <c r="BD6" i="4"/>
  <c r="AM6" i="4"/>
  <c r="AF6" i="4"/>
  <c r="AE6" i="4"/>
  <c r="AE11" i="4" s="1"/>
  <c r="AE22" i="4" s="1"/>
  <c r="AM11" i="4" s="1"/>
  <c r="AD6" i="4"/>
  <c r="AD17" i="4" s="1"/>
  <c r="AL6" i="4" s="1"/>
  <c r="E6" i="4"/>
  <c r="BJ5" i="4"/>
  <c r="I5" i="4"/>
  <c r="E5" i="4"/>
  <c r="E20" i="4" s="1"/>
  <c r="AS4" i="4"/>
  <c r="BJ3" i="4"/>
  <c r="E3" i="4"/>
  <c r="BD14" i="4" l="1"/>
  <c r="CD10" i="4"/>
  <c r="CB10" i="4"/>
  <c r="BZ10" i="4"/>
  <c r="BX10" i="4"/>
  <c r="CA10" i="4"/>
  <c r="CC10" i="4"/>
  <c r="BY10" i="4"/>
  <c r="CD8" i="4"/>
  <c r="CB8" i="4"/>
  <c r="BZ8" i="4"/>
  <c r="BX8" i="4"/>
  <c r="CA8" i="4"/>
  <c r="CC8" i="4"/>
  <c r="BY8" i="4"/>
  <c r="AG7" i="4"/>
  <c r="CC13" i="4"/>
  <c r="CA13" i="4"/>
  <c r="BY13" i="4"/>
  <c r="CC14" i="4"/>
  <c r="CA14" i="4"/>
  <c r="BY14" i="4"/>
  <c r="CD12" i="4"/>
  <c r="CB12" i="4"/>
  <c r="BZ12" i="4"/>
  <c r="BX12" i="4"/>
  <c r="CA12" i="4"/>
  <c r="CD15" i="4"/>
  <c r="CB15" i="4"/>
  <c r="BZ15" i="4"/>
  <c r="CC15" i="4"/>
  <c r="BY15" i="4"/>
  <c r="BX13" i="4"/>
  <c r="CB13" i="4"/>
  <c r="BX14" i="4"/>
  <c r="CB14" i="4"/>
  <c r="AU22" i="4"/>
  <c r="AV22" i="4"/>
  <c r="CA15" i="4"/>
  <c r="I18" i="4"/>
  <c r="I19" i="4"/>
  <c r="I17" i="4"/>
  <c r="I16" i="4"/>
  <c r="I15" i="4"/>
  <c r="I14" i="4"/>
  <c r="I12" i="4"/>
  <c r="I8" i="4"/>
  <c r="I6" i="4"/>
  <c r="BJ12" i="4"/>
  <c r="BM12" i="4" s="1"/>
  <c r="BN12" i="4" s="1"/>
  <c r="BO12" i="4" s="1"/>
  <c r="AV11" i="4"/>
  <c r="AS11" i="4"/>
  <c r="BJ10" i="4"/>
  <c r="BM10" i="4" s="1"/>
  <c r="BN10" i="4" s="1"/>
  <c r="BO10" i="4" s="1"/>
  <c r="BJ9" i="4"/>
  <c r="BM9" i="4" s="1"/>
  <c r="BN9" i="4" s="1"/>
  <c r="BO9" i="4" s="1"/>
  <c r="AU9" i="4"/>
  <c r="AU20" i="4" s="1"/>
  <c r="BJ8" i="4"/>
  <c r="BM8" i="4" s="1"/>
  <c r="BN8" i="4" s="1"/>
  <c r="BO8" i="4" s="1"/>
  <c r="BJ6" i="4"/>
  <c r="BM6" i="4" s="1"/>
  <c r="BN6" i="4" s="1"/>
  <c r="BO6" i="4" s="1"/>
  <c r="AU6" i="4"/>
  <c r="AU17" i="4" s="1"/>
  <c r="AY5" i="4"/>
  <c r="AY16" i="4" s="1"/>
  <c r="AU5" i="4"/>
  <c r="AU16" i="4" s="1"/>
  <c r="AX5" i="4"/>
  <c r="AX16" i="4" s="1"/>
  <c r="I7" i="4"/>
  <c r="AU7" i="4"/>
  <c r="AU18" i="4" s="1"/>
  <c r="BJ7" i="4"/>
  <c r="BM7" i="4" s="1"/>
  <c r="BN7" i="4" s="1"/>
  <c r="BO7" i="4" s="1"/>
  <c r="AG8" i="4"/>
  <c r="AG9" i="4"/>
  <c r="CC11" i="4"/>
  <c r="CA11" i="4"/>
  <c r="BY11" i="4"/>
  <c r="CD9" i="4"/>
  <c r="CB9" i="4"/>
  <c r="BZ9" i="4"/>
  <c r="BX9" i="4"/>
  <c r="CA9" i="4"/>
  <c r="BJ11" i="4"/>
  <c r="BM11" i="4" s="1"/>
  <c r="BN11" i="4" s="1"/>
  <c r="BO11" i="4" s="1"/>
  <c r="BZ11" i="4"/>
  <c r="CD11" i="4"/>
  <c r="BY12" i="4"/>
  <c r="CC12" i="4"/>
  <c r="I13" i="4"/>
  <c r="BJ13" i="4"/>
  <c r="BM13" i="4" s="1"/>
  <c r="BN13" i="4" s="1"/>
  <c r="BO13" i="4" s="1"/>
  <c r="BZ13" i="4"/>
  <c r="CD13" i="4"/>
  <c r="BZ14" i="4"/>
  <c r="CD14" i="4"/>
  <c r="Y16" i="4"/>
  <c r="Z15" i="4"/>
  <c r="BX15" i="4"/>
  <c r="AM21" i="4"/>
  <c r="AU10" i="4" s="1"/>
  <c r="AU21" i="4" s="1"/>
  <c r="AS22" i="4"/>
  <c r="AG6" i="4"/>
  <c r="AG10" i="4"/>
  <c r="AH10" i="4" s="1"/>
  <c r="AM22" i="4"/>
  <c r="AU11" i="4" s="1"/>
  <c r="AL21" i="4"/>
  <c r="AT10" i="4" s="1"/>
  <c r="AT21" i="4" s="1"/>
  <c r="AM20" i="4"/>
  <c r="AK20" i="4"/>
  <c r="AS9" i="4" s="1"/>
  <c r="AS20" i="4" s="1"/>
  <c r="AM19" i="4"/>
  <c r="AU8" i="4" s="1"/>
  <c r="AU19" i="4" s="1"/>
  <c r="AK19" i="4"/>
  <c r="AL18" i="4"/>
  <c r="AM17" i="4"/>
  <c r="AK17" i="4"/>
  <c r="AP16" i="4"/>
  <c r="AN16" i="4"/>
  <c r="AV5" i="4" s="1"/>
  <c r="AV16" i="4" s="1"/>
  <c r="AL16" i="4"/>
  <c r="AK16" i="4"/>
  <c r="AO16" i="4"/>
  <c r="AW5" i="4" s="1"/>
  <c r="AW16" i="4" s="1"/>
  <c r="AL17" i="4"/>
  <c r="AK18" i="4"/>
  <c r="AL19" i="4"/>
  <c r="AL20" i="4"/>
  <c r="AT9" i="4" s="1"/>
  <c r="AT20" i="4" s="1"/>
  <c r="AK21" i="4"/>
  <c r="AS10" i="4" s="1"/>
  <c r="AS21" i="4" s="1"/>
  <c r="AN22" i="4"/>
  <c r="E21" i="2"/>
  <c r="D20" i="2"/>
  <c r="E19" i="2" s="1"/>
  <c r="F19" i="2"/>
  <c r="F18" i="2"/>
  <c r="F17" i="2"/>
  <c r="F16" i="2"/>
  <c r="E16" i="2"/>
  <c r="F15" i="2"/>
  <c r="F14" i="2"/>
  <c r="F13" i="2"/>
  <c r="F12" i="2"/>
  <c r="E12" i="2"/>
  <c r="F11" i="2"/>
  <c r="F10" i="2"/>
  <c r="F9" i="2"/>
  <c r="F8" i="2"/>
  <c r="E8" i="2"/>
  <c r="F7" i="2"/>
  <c r="F6" i="2"/>
  <c r="F5" i="2"/>
  <c r="E3" i="2"/>
  <c r="BP13" i="4" l="1"/>
  <c r="BP7" i="4"/>
  <c r="AS7" i="4"/>
  <c r="AT6" i="4"/>
  <c r="BP11" i="4"/>
  <c r="AH9" i="4"/>
  <c r="AH8" i="4"/>
  <c r="BP6" i="4"/>
  <c r="AS8" i="4"/>
  <c r="BP8" i="4"/>
  <c r="BP10" i="4"/>
  <c r="AH6" i="4"/>
  <c r="Z14" i="4"/>
  <c r="Z16" i="4"/>
  <c r="AA15" i="4"/>
  <c r="AT8" i="4"/>
  <c r="AT5" i="4"/>
  <c r="AS5" i="4"/>
  <c r="AS6" i="4"/>
  <c r="AT7" i="4"/>
  <c r="BP9" i="4"/>
  <c r="BP12" i="4"/>
  <c r="AH7" i="4"/>
  <c r="E22" i="4"/>
  <c r="I5" i="2"/>
  <c r="I7" i="2"/>
  <c r="I9" i="2"/>
  <c r="I11" i="2"/>
  <c r="I13" i="2"/>
  <c r="I15" i="2"/>
  <c r="I17" i="2"/>
  <c r="I19" i="2"/>
  <c r="I6" i="2"/>
  <c r="I8" i="2"/>
  <c r="I10" i="2"/>
  <c r="I12" i="2"/>
  <c r="I14" i="2"/>
  <c r="I16" i="2"/>
  <c r="I18" i="2"/>
  <c r="E6" i="2"/>
  <c r="H6" i="2" s="1"/>
  <c r="E10" i="2"/>
  <c r="G10" i="2" s="1"/>
  <c r="E14" i="2"/>
  <c r="H14" i="2" s="1"/>
  <c r="E18" i="2"/>
  <c r="H18" i="2" s="1"/>
  <c r="H8" i="2"/>
  <c r="H12" i="2"/>
  <c r="H16" i="2"/>
  <c r="H10" i="2"/>
  <c r="G19" i="2"/>
  <c r="H19" i="2"/>
  <c r="G8" i="2"/>
  <c r="G12" i="2"/>
  <c r="G16" i="2"/>
  <c r="G18" i="2"/>
  <c r="E5" i="2"/>
  <c r="E7" i="2"/>
  <c r="E9" i="2"/>
  <c r="E11" i="2"/>
  <c r="E13" i="2"/>
  <c r="E15" i="2"/>
  <c r="E17" i="2"/>
  <c r="AT18" i="4" l="1"/>
  <c r="AS16" i="4"/>
  <c r="AT19" i="4"/>
  <c r="AS19" i="4"/>
  <c r="AS17" i="4"/>
  <c r="AT16" i="4"/>
  <c r="AA16" i="4"/>
  <c r="AA14" i="4"/>
  <c r="U6" i="4"/>
  <c r="BP14" i="4"/>
  <c r="AT17" i="4"/>
  <c r="AS18" i="4"/>
  <c r="G14" i="2"/>
  <c r="G6" i="2"/>
  <c r="G17" i="2"/>
  <c r="H17" i="2"/>
  <c r="G13" i="2"/>
  <c r="H13" i="2"/>
  <c r="G9" i="2"/>
  <c r="H9" i="2"/>
  <c r="E20" i="2"/>
  <c r="G5" i="2"/>
  <c r="H5" i="2"/>
  <c r="G15" i="2"/>
  <c r="H15" i="2"/>
  <c r="G11" i="2"/>
  <c r="H11" i="2"/>
  <c r="G7" i="2"/>
  <c r="H7" i="2"/>
  <c r="W20" i="4" l="1"/>
  <c r="AF20" i="4" s="1"/>
  <c r="AG20" i="4" s="1"/>
  <c r="AH20" i="4" s="1"/>
  <c r="W19" i="4"/>
  <c r="AF19" i="4" s="1"/>
  <c r="AG19" i="4" s="1"/>
  <c r="AH19" i="4" s="1"/>
  <c r="W17" i="4"/>
  <c r="AF17" i="4" s="1"/>
  <c r="AG17" i="4" s="1"/>
  <c r="AH17" i="4" s="1"/>
  <c r="W18" i="4"/>
  <c r="AF18" i="4" s="1"/>
  <c r="AG18" i="4" s="1"/>
  <c r="AH18" i="4" s="1"/>
  <c r="W21" i="4"/>
  <c r="AF21" i="4" s="1"/>
  <c r="AG21" i="4" s="1"/>
  <c r="AH21" i="4" s="1"/>
  <c r="E22" i="2"/>
  <c r="AI21" i="4" l="1"/>
  <c r="AI19" i="4"/>
  <c r="AI18" i="4"/>
  <c r="AI17" i="4"/>
  <c r="AI20" i="4"/>
  <c r="BC14" i="2"/>
  <c r="U7" i="4" l="1"/>
  <c r="BJ3" i="2"/>
  <c r="BD13" i="2"/>
  <c r="BD12" i="2"/>
  <c r="BD11" i="2"/>
  <c r="BD10" i="2"/>
  <c r="BD9" i="2"/>
  <c r="BD8" i="2"/>
  <c r="BD7" i="2"/>
  <c r="BD6" i="2"/>
  <c r="BK7" i="2"/>
  <c r="BV9" i="2" s="1"/>
  <c r="BL7" i="2"/>
  <c r="BK8" i="2"/>
  <c r="BV10" i="2" s="1"/>
  <c r="BL8" i="2"/>
  <c r="BK9" i="2"/>
  <c r="BV11" i="2" s="1"/>
  <c r="BL9" i="2"/>
  <c r="BK10" i="2"/>
  <c r="BV12" i="2" s="1"/>
  <c r="BL10" i="2"/>
  <c r="BK11" i="2"/>
  <c r="BV13" i="2" s="1"/>
  <c r="BL11" i="2"/>
  <c r="BK12" i="2"/>
  <c r="BV14" i="2" s="1"/>
  <c r="BL12" i="2"/>
  <c r="BK13" i="2"/>
  <c r="BV15" i="2" s="1"/>
  <c r="BL13" i="2"/>
  <c r="BL6" i="2"/>
  <c r="BL14" i="2" s="1"/>
  <c r="BK6" i="2"/>
  <c r="BV8" i="2" s="1"/>
  <c r="AF11" i="2"/>
  <c r="AF22" i="2"/>
  <c r="AN11" i="2"/>
  <c r="U21" i="2"/>
  <c r="U20" i="2"/>
  <c r="AF10" i="2"/>
  <c r="AE10" i="2"/>
  <c r="AE21" i="2" s="1"/>
  <c r="AM10" i="2" s="1"/>
  <c r="AD10" i="2"/>
  <c r="AD21" i="2" s="1"/>
  <c r="AL10" i="2" s="1"/>
  <c r="U19" i="2"/>
  <c r="Q11" i="2"/>
  <c r="AF9" i="2"/>
  <c r="AE9" i="2"/>
  <c r="AE20" i="2" s="1"/>
  <c r="AM9" i="2" s="1"/>
  <c r="AD9" i="2"/>
  <c r="AD20" i="2" s="1"/>
  <c r="AL9" i="2" s="1"/>
  <c r="U18" i="2"/>
  <c r="T9" i="2"/>
  <c r="AF8" i="2"/>
  <c r="AE8" i="2"/>
  <c r="AE19" i="2" s="1"/>
  <c r="AM8" i="2" s="1"/>
  <c r="AD8" i="2"/>
  <c r="AD19" i="2" s="1"/>
  <c r="AL8" i="2" s="1"/>
  <c r="U17" i="2"/>
  <c r="AF7" i="2"/>
  <c r="AE7" i="2"/>
  <c r="AE18" i="2" s="1"/>
  <c r="AD7" i="2"/>
  <c r="AD18" i="2" s="1"/>
  <c r="AL7" i="2" s="1"/>
  <c r="AF6" i="2"/>
  <c r="AE6" i="2"/>
  <c r="AD6" i="2"/>
  <c r="AD17" i="2" s="1"/>
  <c r="AL6" i="2" s="1"/>
  <c r="Y15" i="2"/>
  <c r="Y16" i="2" s="1"/>
  <c r="AK15" i="2"/>
  <c r="AK22" i="2" s="1"/>
  <c r="X18" i="4" l="1"/>
  <c r="AN7" i="4" s="1"/>
  <c r="AO7" i="4" s="1"/>
  <c r="AP7" i="4" s="1"/>
  <c r="X19" i="4"/>
  <c r="AN8" i="4" s="1"/>
  <c r="AO8" i="4" s="1"/>
  <c r="AP8" i="4" s="1"/>
  <c r="X21" i="4"/>
  <c r="AN10" i="4" s="1"/>
  <c r="AO10" i="4" s="1"/>
  <c r="AP10" i="4" s="1"/>
  <c r="X20" i="4"/>
  <c r="AN9" i="4" s="1"/>
  <c r="AO9" i="4" s="1"/>
  <c r="AP9" i="4" s="1"/>
  <c r="X17" i="4"/>
  <c r="AN6" i="4" s="1"/>
  <c r="AO6" i="4" s="1"/>
  <c r="AP6" i="4" s="1"/>
  <c r="BD14" i="2"/>
  <c r="AE11" i="2"/>
  <c r="AE22" i="2" s="1"/>
  <c r="AM11" i="2" s="1"/>
  <c r="AM22" i="2" s="1"/>
  <c r="CB12" i="2"/>
  <c r="BZ12" i="2"/>
  <c r="BX12" i="2"/>
  <c r="CD8" i="2"/>
  <c r="CB8" i="2"/>
  <c r="BZ8" i="2"/>
  <c r="BX8" i="2"/>
  <c r="CC8" i="2"/>
  <c r="CA8" i="2"/>
  <c r="BY8" i="2"/>
  <c r="CD15" i="2"/>
  <c r="CC15" i="2"/>
  <c r="CB15" i="2"/>
  <c r="CA15" i="2"/>
  <c r="BZ15" i="2"/>
  <c r="BY15" i="2"/>
  <c r="BX15" i="2"/>
  <c r="CD13" i="2"/>
  <c r="CC13" i="2"/>
  <c r="CB13" i="2"/>
  <c r="CA13" i="2"/>
  <c r="BZ13" i="2"/>
  <c r="BY13" i="2"/>
  <c r="BX13" i="2"/>
  <c r="CD11" i="2"/>
  <c r="CC11" i="2"/>
  <c r="CB11" i="2"/>
  <c r="CA11" i="2"/>
  <c r="BZ11" i="2"/>
  <c r="BY11" i="2"/>
  <c r="BX11" i="2"/>
  <c r="CD9" i="2"/>
  <c r="CC9" i="2"/>
  <c r="CB9" i="2"/>
  <c r="CA9" i="2"/>
  <c r="BZ9" i="2"/>
  <c r="BY9" i="2"/>
  <c r="BX9" i="2"/>
  <c r="CD14" i="2"/>
  <c r="CC14" i="2"/>
  <c r="CD10" i="2"/>
  <c r="CC10" i="2"/>
  <c r="BY14" i="2"/>
  <c r="BY10" i="2"/>
  <c r="CA14" i="2"/>
  <c r="CA10" i="2"/>
  <c r="AE17" i="2"/>
  <c r="AM6" i="2" s="1"/>
  <c r="AM17" i="2" s="1"/>
  <c r="CD12" i="2"/>
  <c r="CC12" i="2"/>
  <c r="BX14" i="2"/>
  <c r="BX10" i="2"/>
  <c r="BY12" i="2"/>
  <c r="BZ14" i="2"/>
  <c r="BZ10" i="2"/>
  <c r="CA12" i="2"/>
  <c r="CB14" i="2"/>
  <c r="CB10" i="2"/>
  <c r="AN22" i="2"/>
  <c r="Y14" i="2"/>
  <c r="AG8" i="2"/>
  <c r="Z15" i="2"/>
  <c r="Z14" i="2" s="1"/>
  <c r="AG6" i="2"/>
  <c r="AM7" i="2"/>
  <c r="AM18" i="2" s="1"/>
  <c r="AL21" i="2"/>
  <c r="AL20" i="2"/>
  <c r="AM19" i="2"/>
  <c r="AK19" i="2"/>
  <c r="AK18" i="2"/>
  <c r="AK16" i="2"/>
  <c r="AM16" i="2"/>
  <c r="AO16" i="2"/>
  <c r="AQ16" i="2"/>
  <c r="AL17" i="2"/>
  <c r="AG7" i="2"/>
  <c r="AG9" i="2"/>
  <c r="AM20" i="2"/>
  <c r="AG10" i="2"/>
  <c r="AM21" i="2"/>
  <c r="AS4" i="2"/>
  <c r="AL16" i="2"/>
  <c r="AN16" i="2"/>
  <c r="AP16" i="2"/>
  <c r="AA15" i="2"/>
  <c r="AK17" i="2"/>
  <c r="AL18" i="2"/>
  <c r="AL19" i="2"/>
  <c r="AK20" i="2"/>
  <c r="T10" i="2"/>
  <c r="AK21" i="2"/>
  <c r="AQ6" i="4" l="1"/>
  <c r="AQ8" i="4"/>
  <c r="AQ7" i="4"/>
  <c r="AQ9" i="4"/>
  <c r="AQ10" i="4"/>
  <c r="BJ11" i="2"/>
  <c r="BM11" i="2" s="1"/>
  <c r="BN11" i="2" s="1"/>
  <c r="BO11" i="2" s="1"/>
  <c r="BJ13" i="2"/>
  <c r="BM13" i="2" s="1"/>
  <c r="BN13" i="2" s="1"/>
  <c r="BO13" i="2" s="1"/>
  <c r="BJ9" i="2"/>
  <c r="BM9" i="2" s="1"/>
  <c r="BN9" i="2" s="1"/>
  <c r="BO9" i="2" s="1"/>
  <c r="BJ7" i="2"/>
  <c r="BM7" i="2" s="1"/>
  <c r="BN7" i="2" s="1"/>
  <c r="BO7" i="2" s="1"/>
  <c r="BJ5" i="2"/>
  <c r="BJ8" i="2"/>
  <c r="BM8" i="2" s="1"/>
  <c r="BN8" i="2" s="1"/>
  <c r="BO8" i="2" s="1"/>
  <c r="BJ12" i="2"/>
  <c r="BM12" i="2" s="1"/>
  <c r="BN12" i="2" s="1"/>
  <c r="BO12" i="2" s="1"/>
  <c r="BJ10" i="2"/>
  <c r="BM10" i="2" s="1"/>
  <c r="BN10" i="2" s="1"/>
  <c r="BO10" i="2" s="1"/>
  <c r="BJ6" i="2"/>
  <c r="BM6" i="2" s="1"/>
  <c r="BN6" i="2" s="1"/>
  <c r="BO6" i="2" s="1"/>
  <c r="AV11" i="2"/>
  <c r="AS11" i="2"/>
  <c r="AU11" i="2"/>
  <c r="AH10" i="2"/>
  <c r="Z16" i="2"/>
  <c r="AU10" i="2"/>
  <c r="AS10" i="2"/>
  <c r="AU9" i="2"/>
  <c r="AS9" i="2"/>
  <c r="AT8" i="2"/>
  <c r="AT7" i="2"/>
  <c r="AT10" i="2"/>
  <c r="AT9" i="2"/>
  <c r="AU8" i="2"/>
  <c r="AU7" i="2"/>
  <c r="AT6" i="2"/>
  <c r="AY5" i="2"/>
  <c r="AW5" i="2"/>
  <c r="AU5" i="2"/>
  <c r="AS5" i="2"/>
  <c r="AS8" i="2"/>
  <c r="AS7" i="2"/>
  <c r="AU6" i="2"/>
  <c r="AS6" i="2"/>
  <c r="AX5" i="2"/>
  <c r="AV5" i="2"/>
  <c r="AT5" i="2"/>
  <c r="AS15" i="2"/>
  <c r="AH9" i="2"/>
  <c r="AH7" i="2"/>
  <c r="T11" i="2"/>
  <c r="AA14" i="2"/>
  <c r="AA16" i="2"/>
  <c r="AH8" i="2"/>
  <c r="AH6" i="2"/>
  <c r="U8" i="4" l="1"/>
  <c r="Y19" i="4" s="1"/>
  <c r="AN19" i="4" s="1"/>
  <c r="AO19" i="4" s="1"/>
  <c r="AP19" i="4" s="1"/>
  <c r="BP10" i="2"/>
  <c r="BP12" i="2"/>
  <c r="BP9" i="2"/>
  <c r="BP13" i="2"/>
  <c r="BP6" i="2"/>
  <c r="BP8" i="2"/>
  <c r="BP7" i="2"/>
  <c r="BP11" i="2"/>
  <c r="AH11" i="2"/>
  <c r="AV22" i="2"/>
  <c r="AS22" i="2"/>
  <c r="AU22" i="2"/>
  <c r="AT21" i="2"/>
  <c r="AT20" i="2"/>
  <c r="AU19" i="2"/>
  <c r="AS19" i="2"/>
  <c r="AU18" i="2"/>
  <c r="AS18" i="2"/>
  <c r="AU21" i="2"/>
  <c r="AU20" i="2"/>
  <c r="AU17" i="2"/>
  <c r="AS17" i="2"/>
  <c r="AX16" i="2"/>
  <c r="AV16" i="2"/>
  <c r="AT16" i="2"/>
  <c r="AS21" i="2"/>
  <c r="AS20" i="2"/>
  <c r="AT19" i="2"/>
  <c r="AT18" i="2"/>
  <c r="AT17" i="2"/>
  <c r="AY16" i="2"/>
  <c r="AW16" i="2"/>
  <c r="AU16" i="2"/>
  <c r="AS16" i="2"/>
  <c r="Y20" i="4" l="1"/>
  <c r="AN20" i="4" s="1"/>
  <c r="AO20" i="4" s="1"/>
  <c r="AP20" i="4" s="1"/>
  <c r="Y18" i="4"/>
  <c r="AN18" i="4" s="1"/>
  <c r="AO18" i="4" s="1"/>
  <c r="AP18" i="4" s="1"/>
  <c r="Y17" i="4"/>
  <c r="AN17" i="4" s="1"/>
  <c r="AO17" i="4" s="1"/>
  <c r="AP17" i="4" s="1"/>
  <c r="Y21" i="4"/>
  <c r="AN21" i="4" s="1"/>
  <c r="AO21" i="4" s="1"/>
  <c r="AP21" i="4" s="1"/>
  <c r="U6" i="2"/>
  <c r="W18" i="2" s="1"/>
  <c r="AF18" i="2" s="1"/>
  <c r="AQ19" i="4" l="1"/>
  <c r="AQ21" i="4"/>
  <c r="AQ20" i="4"/>
  <c r="AQ17" i="4"/>
  <c r="AQ18" i="4"/>
  <c r="U9" i="4" s="1"/>
  <c r="W21" i="2"/>
  <c r="AF21" i="2" s="1"/>
  <c r="AG21" i="2" s="1"/>
  <c r="AH21" i="2" s="1"/>
  <c r="W19" i="2"/>
  <c r="AF19" i="2" s="1"/>
  <c r="AG19" i="2" s="1"/>
  <c r="AH19" i="2" s="1"/>
  <c r="W20" i="2"/>
  <c r="AF20" i="2" s="1"/>
  <c r="AG20" i="2" s="1"/>
  <c r="AH20" i="2" s="1"/>
  <c r="W17" i="2"/>
  <c r="AF17" i="2" s="1"/>
  <c r="AG17" i="2" s="1"/>
  <c r="AH17" i="2" s="1"/>
  <c r="AG18" i="2"/>
  <c r="AH18" i="2" s="1"/>
  <c r="Z17" i="4" l="1"/>
  <c r="AV6" i="4" s="1"/>
  <c r="AW6" i="4" s="1"/>
  <c r="Z18" i="4"/>
  <c r="AV7" i="4" s="1"/>
  <c r="AW7" i="4" s="1"/>
  <c r="Z20" i="4"/>
  <c r="AV9" i="4" s="1"/>
  <c r="AW9" i="4" s="1"/>
  <c r="Z19" i="4"/>
  <c r="AV8" i="4" s="1"/>
  <c r="AW8" i="4" s="1"/>
  <c r="Z21" i="4"/>
  <c r="AV10" i="4" s="1"/>
  <c r="AW10" i="4" s="1"/>
  <c r="AX10" i="4" s="1"/>
  <c r="AX7" i="4"/>
  <c r="AX9" i="4"/>
  <c r="AX8" i="4"/>
  <c r="AX6" i="4"/>
  <c r="AI21" i="2"/>
  <c r="AI19" i="2"/>
  <c r="AI17" i="2"/>
  <c r="AI20" i="2"/>
  <c r="AI18" i="2"/>
  <c r="AY8" i="4" l="1"/>
  <c r="AY9" i="4"/>
  <c r="AY6" i="4"/>
  <c r="AY10" i="4"/>
  <c r="AY7" i="4"/>
  <c r="U10" i="4" s="1"/>
  <c r="AI22" i="2"/>
  <c r="U7" i="2" s="1"/>
  <c r="X19" i="2" s="1"/>
  <c r="AN8" i="2" s="1"/>
  <c r="AO8" i="2" s="1"/>
  <c r="AP8" i="2" s="1"/>
  <c r="AA20" i="4" l="1"/>
  <c r="AV20" i="4" s="1"/>
  <c r="AW20" i="4" s="1"/>
  <c r="AA18" i="4"/>
  <c r="AV18" i="4" s="1"/>
  <c r="AW18" i="4" s="1"/>
  <c r="AA19" i="4"/>
  <c r="AV19" i="4" s="1"/>
  <c r="AW19" i="4" s="1"/>
  <c r="AA21" i="4"/>
  <c r="AV21" i="4" s="1"/>
  <c r="AW21" i="4" s="1"/>
  <c r="AA17" i="4"/>
  <c r="AV17" i="4" s="1"/>
  <c r="AW17" i="4" s="1"/>
  <c r="X20" i="2"/>
  <c r="AN9" i="2" s="1"/>
  <c r="AO9" i="2" s="1"/>
  <c r="AP9" i="2" s="1"/>
  <c r="X18" i="2"/>
  <c r="AN7" i="2" s="1"/>
  <c r="AO7" i="2" s="1"/>
  <c r="AP7" i="2" s="1"/>
  <c r="X17" i="2"/>
  <c r="AN6" i="2" s="1"/>
  <c r="AO6" i="2" s="1"/>
  <c r="AP6" i="2" s="1"/>
  <c r="X21" i="2"/>
  <c r="AN10" i="2" s="1"/>
  <c r="AO10" i="2" s="1"/>
  <c r="AP10" i="2" s="1"/>
  <c r="AX21" i="4" l="1"/>
  <c r="AX18" i="4"/>
  <c r="AX17" i="4"/>
  <c r="AX19" i="4"/>
  <c r="AX20" i="4"/>
  <c r="AQ8" i="2"/>
  <c r="AQ6" i="2"/>
  <c r="AQ11" i="2" s="1"/>
  <c r="U8" i="2" s="1"/>
  <c r="AQ10" i="2"/>
  <c r="AQ9" i="2"/>
  <c r="AQ7" i="2"/>
  <c r="AY19" i="4" l="1"/>
  <c r="AY20" i="4"/>
  <c r="AY18" i="4"/>
  <c r="AY21" i="4"/>
  <c r="AY17" i="4"/>
  <c r="Y19" i="2"/>
  <c r="AN19" i="2" s="1"/>
  <c r="AO19" i="2" s="1"/>
  <c r="Y18" i="2"/>
  <c r="AN18" i="2" s="1"/>
  <c r="AO18" i="2" s="1"/>
  <c r="Y21" i="2"/>
  <c r="AN21" i="2" s="1"/>
  <c r="AO21" i="2" s="1"/>
  <c r="Y20" i="2"/>
  <c r="AN20" i="2" s="1"/>
  <c r="AO20" i="2" s="1"/>
  <c r="Y17" i="2"/>
  <c r="AN17" i="2" s="1"/>
  <c r="AO17" i="2" s="1"/>
  <c r="U11" i="4" l="1"/>
  <c r="R9" i="4" s="1"/>
  <c r="R8" i="4"/>
  <c r="AP20" i="2"/>
  <c r="AP18" i="2"/>
  <c r="AP17" i="2"/>
  <c r="AP21" i="2"/>
  <c r="AP19" i="2"/>
  <c r="R6" i="4" l="1"/>
  <c r="R10" i="4"/>
  <c r="R7" i="4"/>
  <c r="AQ21" i="2"/>
  <c r="AQ18" i="2"/>
  <c r="AQ19" i="2"/>
  <c r="AQ17" i="2"/>
  <c r="AQ20" i="2"/>
  <c r="R11" i="4" l="1"/>
  <c r="AQ22" i="2"/>
  <c r="U9" i="2" l="1"/>
  <c r="Z18" i="2" s="1"/>
  <c r="AV7" i="2" s="1"/>
  <c r="AW7" i="2" s="1"/>
  <c r="AX7" i="2" s="1"/>
  <c r="Z21" i="2" l="1"/>
  <c r="AV10" i="2" s="1"/>
  <c r="AW10" i="2" s="1"/>
  <c r="AX10" i="2" s="1"/>
  <c r="Z17" i="2"/>
  <c r="AV6" i="2" s="1"/>
  <c r="AW6" i="2" s="1"/>
  <c r="AX6" i="2" s="1"/>
  <c r="Z20" i="2"/>
  <c r="AV9" i="2" s="1"/>
  <c r="AW9" i="2" s="1"/>
  <c r="AX9" i="2" s="1"/>
  <c r="Z19" i="2"/>
  <c r="AV8" i="2" s="1"/>
  <c r="AW8" i="2" s="1"/>
  <c r="AX8" i="2" s="1"/>
  <c r="AY7" i="2" l="1"/>
  <c r="AY6" i="2"/>
  <c r="AY8" i="2"/>
  <c r="AY9" i="2"/>
  <c r="AY10" i="2"/>
  <c r="AY11" i="2" l="1"/>
  <c r="U10" i="2" s="1"/>
  <c r="AA20" i="2" l="1"/>
  <c r="AV20" i="2" s="1"/>
  <c r="AW20" i="2" s="1"/>
  <c r="AX20" i="2" s="1"/>
  <c r="AA17" i="2"/>
  <c r="AV17" i="2" s="1"/>
  <c r="AW17" i="2" s="1"/>
  <c r="AX17" i="2" s="1"/>
  <c r="AA19" i="2"/>
  <c r="AV19" i="2" s="1"/>
  <c r="AW19" i="2" s="1"/>
  <c r="AX19" i="2" s="1"/>
  <c r="AA18" i="2"/>
  <c r="AV18" i="2" s="1"/>
  <c r="AW18" i="2" s="1"/>
  <c r="AX18" i="2" s="1"/>
  <c r="AA21" i="2"/>
  <c r="AV21" i="2" s="1"/>
  <c r="AW21" i="2" s="1"/>
  <c r="AX21" i="2" s="1"/>
  <c r="AY20" i="2" l="1"/>
  <c r="AY18" i="2"/>
  <c r="AY19" i="2"/>
  <c r="AY17" i="2"/>
  <c r="AY21" i="2"/>
  <c r="AY22" i="2" l="1"/>
  <c r="U11" i="2" s="1"/>
  <c r="R6" i="2" l="1"/>
  <c r="R10" i="2"/>
  <c r="R7" i="2"/>
  <c r="R9" i="2"/>
  <c r="R8" i="2"/>
  <c r="BP14" i="2"/>
  <c r="R11" i="2" l="1"/>
</calcChain>
</file>

<file path=xl/sharedStrings.xml><?xml version="1.0" encoding="utf-8"?>
<sst xmlns="http://schemas.openxmlformats.org/spreadsheetml/2006/main" count="232" uniqueCount="58">
  <si>
    <t>Suara</t>
  </si>
  <si>
    <t>Pembagi</t>
  </si>
  <si>
    <t>Perolehan Suara</t>
  </si>
  <si>
    <t>Parpol A</t>
  </si>
  <si>
    <t>Parpol B</t>
  </si>
  <si>
    <t>Parpol C</t>
  </si>
  <si>
    <t>Parpol D</t>
  </si>
  <si>
    <t>Parpol E</t>
  </si>
  <si>
    <t>SAINTE LAGUE</t>
  </si>
  <si>
    <t>Partai</t>
  </si>
  <si>
    <t>Hasil</t>
  </si>
  <si>
    <t>Kursi ke-</t>
  </si>
  <si>
    <t>Peringkat</t>
  </si>
  <si>
    <t>Perolehan Kursi</t>
  </si>
  <si>
    <t>No</t>
  </si>
  <si>
    <t>Perebutan Kursi ke-</t>
  </si>
  <si>
    <t>No Urut</t>
  </si>
  <si>
    <t>Kursi</t>
  </si>
  <si>
    <t>Jumlah</t>
  </si>
  <si>
    <t>Perhitungan ke-</t>
  </si>
  <si>
    <t>Parpol F</t>
  </si>
  <si>
    <t>Parpol G</t>
  </si>
  <si>
    <t>Parpol H</t>
  </si>
  <si>
    <t>Perolehan Suara dan Kursi</t>
  </si>
  <si>
    <t>Kursi Daerah Pemilihan  XX</t>
  </si>
  <si>
    <t xml:space="preserve">  Perhitungan Kursi ke-</t>
  </si>
  <si>
    <t>Diperoleh Partai</t>
  </si>
  <si>
    <r>
      <t xml:space="preserve">nama range </t>
    </r>
    <r>
      <rPr>
        <b/>
        <i/>
        <sz val="11"/>
        <color rgb="FFFF0000"/>
        <rFont val="Calibri"/>
        <family val="2"/>
        <scheme val="minor"/>
      </rPr>
      <t>Bagi2</t>
    </r>
  </si>
  <si>
    <t>Perebutan Kursi</t>
  </si>
  <si>
    <r>
      <t xml:space="preserve">nama range </t>
    </r>
    <r>
      <rPr>
        <b/>
        <i/>
        <sz val="11"/>
        <color rgb="FFFF0000"/>
        <rFont val="Calibri"/>
        <family val="2"/>
        <scheme val="minor"/>
      </rPr>
      <t>Kursi2</t>
    </r>
  </si>
  <si>
    <t>Jumlah Kursi Dapil</t>
  </si>
  <si>
    <t>Partai Politik A</t>
  </si>
  <si>
    <t>Partai Politik B</t>
  </si>
  <si>
    <t>Partai Politik C</t>
  </si>
  <si>
    <t>Partai Politik D</t>
  </si>
  <si>
    <t>Partai Politik E</t>
  </si>
  <si>
    <t>Partai Politik F</t>
  </si>
  <si>
    <t>Partai Politik G</t>
  </si>
  <si>
    <t>Partai Politik H</t>
  </si>
  <si>
    <t>Partai Politik I</t>
  </si>
  <si>
    <t>Partai Politik J</t>
  </si>
  <si>
    <t>Partai Politik K</t>
  </si>
  <si>
    <t>Partai Politik L</t>
  </si>
  <si>
    <t>Partai Politik M</t>
  </si>
  <si>
    <t>Partai Politik N</t>
  </si>
  <si>
    <t>Partai Politik O</t>
  </si>
  <si>
    <t>Pilih ambang batas parlemen</t>
  </si>
  <si>
    <t>Suara Sah</t>
  </si>
  <si>
    <t>Perolehan (%)</t>
  </si>
  <si>
    <t>Keterangan</t>
  </si>
  <si>
    <t>Wakil di DPR</t>
  </si>
  <si>
    <t>Lolos Ambang Batas Parlemen</t>
  </si>
  <si>
    <t>Peserta Pemilu</t>
  </si>
  <si>
    <t>Jumlah Suara Nasional</t>
  </si>
  <si>
    <t>AMBANG BATAS PEROLEHAN SUARA</t>
  </si>
  <si>
    <t>Parliamentary Threshold</t>
  </si>
  <si>
    <r>
      <t xml:space="preserve">nama range </t>
    </r>
    <r>
      <rPr>
        <b/>
        <i/>
        <sz val="11"/>
        <color rgb="FFFF0000"/>
        <rFont val="Calibri"/>
        <family val="2"/>
        <scheme val="minor"/>
      </rPr>
      <t>Bagi</t>
    </r>
  </si>
  <si>
    <r>
      <t>nama range T17:AA21 -</t>
    </r>
    <r>
      <rPr>
        <b/>
        <i/>
        <sz val="11"/>
        <color rgb="FFFF0000"/>
        <rFont val="Calibri"/>
        <family val="2"/>
        <scheme val="minor"/>
      </rPr>
      <t xml:space="preserve"> Kursi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</si>
</sst>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\ \ "/>
    <numFmt numFmtId="165" formatCode="&quot;Perhitungan kursi ke-&quot;General"/>
    <numFmt numFmtId="166" formatCode="&quot;Kursi ke-&quot;General\ &quot;diperoleh&quot;"/>
    <numFmt numFmtId="167" formatCode="0.000%"/>
    <numFmt numFmtId="168" formatCode="General\ &quot;parpol   &quot;"/>
  </numFmts>
  <fonts count="9" x14ac:knownFonts="1">
    <font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b/>
      <sz val="14"/>
      <color rgb="FF0000CC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/>
      <right style="medium">
        <color rgb="FFFF0000"/>
      </right>
      <top/>
      <bottom/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/>
      <right style="thin">
        <color theme="0"/>
      </right>
      <top/>
      <bottom style="medium">
        <color rgb="FFFF0000"/>
      </bottom>
      <diagonal/>
    </border>
    <border>
      <left style="medium">
        <color rgb="FFFF0000"/>
      </left>
      <right style="thin">
        <color theme="0"/>
      </right>
      <top style="medium">
        <color rgb="FFFF0000"/>
      </top>
      <bottom/>
      <diagonal/>
    </border>
    <border>
      <left style="medium">
        <color rgb="FFFF0000"/>
      </left>
      <right style="thin">
        <color theme="0"/>
      </right>
      <top/>
      <bottom/>
      <diagonal/>
    </border>
    <border>
      <left style="medium">
        <color rgb="FFFF0000"/>
      </left>
      <right style="thin">
        <color theme="0"/>
      </right>
      <top/>
      <bottom style="medium">
        <color rgb="FFFF0000"/>
      </bottom>
      <diagonal/>
    </border>
    <border>
      <left style="medium">
        <color rgb="FFFF0000"/>
      </left>
      <right style="thin">
        <color theme="1" tint="0.499984740745262"/>
      </right>
      <top style="medium">
        <color rgb="FFFF0000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rgb="FFFF0000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rgb="FFFF0000"/>
      </right>
      <top style="medium">
        <color rgb="FFFF0000"/>
      </top>
      <bottom style="thin">
        <color theme="1" tint="0.499984740745262"/>
      </bottom>
      <diagonal/>
    </border>
    <border>
      <left style="medium">
        <color rgb="FFFF0000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rgb="FFFF0000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rgb="FFFF0000"/>
      </left>
      <right style="thin">
        <color theme="1" tint="0.499984740745262"/>
      </right>
      <top style="thin">
        <color theme="1" tint="0.499984740745262"/>
      </top>
      <bottom style="medium">
        <color rgb="FFFF0000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rgb="FFFF0000"/>
      </bottom>
      <diagonal/>
    </border>
    <border>
      <left style="thin">
        <color theme="1" tint="0.499984740745262"/>
      </left>
      <right style="medium">
        <color rgb="FFFF0000"/>
      </right>
      <top style="thin">
        <color theme="1" tint="0.499984740745262"/>
      </top>
      <bottom style="medium">
        <color rgb="FFFF0000"/>
      </bottom>
      <diagonal/>
    </border>
    <border>
      <left style="thin">
        <color theme="0"/>
      </left>
      <right style="thin">
        <color theme="0"/>
      </right>
      <top style="thin">
        <color theme="1" tint="0.499984740745262"/>
      </top>
      <bottom/>
      <diagonal/>
    </border>
    <border>
      <left style="thin">
        <color theme="0"/>
      </left>
      <right/>
      <top style="thin">
        <color theme="1" tint="0.499984740745262"/>
      </top>
      <bottom/>
      <diagonal/>
    </border>
    <border>
      <left/>
      <right style="thin">
        <color theme="0"/>
      </right>
      <top style="thin">
        <color theme="1" tint="0.499984740745262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164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0" fillId="0" borderId="8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164" fontId="0" fillId="0" borderId="7" xfId="0" applyNumberFormat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0" fillId="0" borderId="8" xfId="0" applyNumberFormat="1" applyBorder="1" applyAlignment="1">
      <alignment vertical="center"/>
    </xf>
    <xf numFmtId="164" fontId="0" fillId="0" borderId="8" xfId="0" applyNumberFormat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quotePrefix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164" fontId="0" fillId="5" borderId="0" xfId="0" applyNumberFormat="1" applyFill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2" xfId="0" applyFont="1" applyFill="1" applyBorder="1" applyAlignment="1">
      <alignment horizontal="center" vertical="center"/>
    </xf>
    <xf numFmtId="0" fontId="0" fillId="5" borderId="2" xfId="0" applyFill="1" applyBorder="1" applyAlignment="1">
      <alignment horizontal="left" vertical="center" indent="1"/>
    </xf>
    <xf numFmtId="164" fontId="0" fillId="5" borderId="2" xfId="0" applyNumberFormat="1" applyFill="1" applyBorder="1" applyAlignment="1">
      <alignment horizontal="left" vertical="center" indent="1"/>
    </xf>
    <xf numFmtId="164" fontId="0" fillId="5" borderId="2" xfId="0" applyNumberFormat="1" applyFill="1" applyBorder="1" applyAlignment="1">
      <alignment vertical="center"/>
    </xf>
    <xf numFmtId="164" fontId="4" fillId="6" borderId="2" xfId="0" applyNumberFormat="1" applyFont="1" applyFill="1" applyBorder="1" applyAlignment="1">
      <alignment vertical="center"/>
    </xf>
    <xf numFmtId="0" fontId="4" fillId="8" borderId="3" xfId="0" applyFont="1" applyFill="1" applyBorder="1" applyAlignment="1">
      <alignment horizontal="center" vertical="center"/>
    </xf>
    <xf numFmtId="0" fontId="4" fillId="8" borderId="0" xfId="0" applyFont="1" applyFill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3" fillId="0" borderId="0" xfId="0" applyFont="1" applyAlignment="1">
      <alignment vertical="center"/>
    </xf>
    <xf numFmtId="0" fontId="4" fillId="8" borderId="17" xfId="0" applyFont="1" applyFill="1" applyBorder="1" applyAlignment="1">
      <alignment horizontal="left" vertical="center"/>
    </xf>
    <xf numFmtId="0" fontId="4" fillId="8" borderId="17" xfId="0" applyFont="1" applyFill="1" applyBorder="1" applyAlignment="1">
      <alignment vertical="center"/>
    </xf>
    <xf numFmtId="0" fontId="0" fillId="0" borderId="17" xfId="0" applyBorder="1" applyAlignment="1">
      <alignment vertical="center"/>
    </xf>
    <xf numFmtId="0" fontId="4" fillId="4" borderId="11" xfId="0" applyFont="1" applyFill="1" applyBorder="1" applyAlignment="1">
      <alignment horizontal="center" vertical="center"/>
    </xf>
    <xf numFmtId="0" fontId="4" fillId="6" borderId="0" xfId="0" quotePrefix="1" applyFont="1" applyFill="1" applyAlignment="1">
      <alignment horizontal="center" vertical="center"/>
    </xf>
    <xf numFmtId="0" fontId="5" fillId="9" borderId="16" xfId="0" applyFont="1" applyFill="1" applyBorder="1" applyAlignment="1">
      <alignment horizontal="center" vertical="center"/>
    </xf>
    <xf numFmtId="0" fontId="0" fillId="7" borderId="7" xfId="0" applyFill="1" applyBorder="1" applyAlignment="1">
      <alignment horizontal="center" vertical="center"/>
    </xf>
    <xf numFmtId="0" fontId="0" fillId="7" borderId="7" xfId="0" applyFill="1" applyBorder="1" applyAlignment="1">
      <alignment horizontal="left" vertical="center" indent="1"/>
    </xf>
    <xf numFmtId="164" fontId="0" fillId="7" borderId="7" xfId="0" applyNumberFormat="1" applyFill="1" applyBorder="1" applyAlignment="1">
      <alignment vertical="center"/>
    </xf>
    <xf numFmtId="164" fontId="0" fillId="7" borderId="7" xfId="0" applyNumberFormat="1" applyFill="1" applyBorder="1" applyAlignment="1">
      <alignment horizontal="center" vertical="center"/>
    </xf>
    <xf numFmtId="164" fontId="0" fillId="7" borderId="7" xfId="0" applyNumberFormat="1" applyFill="1" applyBorder="1" applyAlignment="1">
      <alignment horizontal="right" vertical="center" indent="1"/>
    </xf>
    <xf numFmtId="0" fontId="4" fillId="6" borderId="0" xfId="0" applyFont="1" applyFill="1" applyAlignment="1">
      <alignment horizontal="center" vertical="center"/>
    </xf>
    <xf numFmtId="0" fontId="4" fillId="6" borderId="21" xfId="0" applyFont="1" applyFill="1" applyBorder="1" applyAlignment="1">
      <alignment horizontal="center" vertical="center"/>
    </xf>
    <xf numFmtId="0" fontId="0" fillId="7" borderId="18" xfId="0" applyFill="1" applyBorder="1" applyAlignment="1">
      <alignment horizontal="center" vertical="center"/>
    </xf>
    <xf numFmtId="0" fontId="0" fillId="7" borderId="19" xfId="0" applyFill="1" applyBorder="1" applyAlignment="1">
      <alignment horizontal="center" vertical="center"/>
    </xf>
    <xf numFmtId="0" fontId="0" fillId="7" borderId="20" xfId="0" applyFill="1" applyBorder="1" applyAlignment="1">
      <alignment horizontal="center" vertical="center"/>
    </xf>
    <xf numFmtId="0" fontId="0" fillId="7" borderId="22" xfId="0" applyFill="1" applyBorder="1" applyAlignment="1">
      <alignment horizontal="center" vertical="center"/>
    </xf>
    <xf numFmtId="0" fontId="0" fillId="7" borderId="23" xfId="0" applyFill="1" applyBorder="1" applyAlignment="1">
      <alignment horizontal="center" vertical="center"/>
    </xf>
    <xf numFmtId="0" fontId="0" fillId="7" borderId="24" xfId="0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left" vertical="center" indent="1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left" vertical="center" indent="1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164" fontId="4" fillId="6" borderId="33" xfId="0" applyNumberFormat="1" applyFont="1" applyFill="1" applyBorder="1" applyAlignment="1">
      <alignment vertical="center"/>
    </xf>
    <xf numFmtId="0" fontId="0" fillId="10" borderId="0" xfId="0" applyFill="1" applyAlignment="1">
      <alignment vertical="center"/>
    </xf>
    <xf numFmtId="0" fontId="4" fillId="10" borderId="17" xfId="0" applyFont="1" applyFill="1" applyBorder="1" applyAlignment="1">
      <alignment horizontal="left" vertical="center" indent="1"/>
    </xf>
    <xf numFmtId="0" fontId="4" fillId="10" borderId="17" xfId="0" applyFont="1" applyFill="1" applyBorder="1" applyAlignment="1">
      <alignment vertical="center"/>
    </xf>
    <xf numFmtId="0" fontId="4" fillId="10" borderId="17" xfId="0" applyFont="1" applyFill="1" applyBorder="1" applyAlignment="1">
      <alignment horizontal="center" vertical="center"/>
    </xf>
    <xf numFmtId="0" fontId="4" fillId="3" borderId="3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12" borderId="1" xfId="0" applyFill="1" applyBorder="1" applyAlignment="1">
      <alignment horizontal="left" vertical="center" indent="1"/>
    </xf>
    <xf numFmtId="164" fontId="0" fillId="12" borderId="2" xfId="0" applyNumberFormat="1" applyFill="1" applyBorder="1" applyAlignment="1">
      <alignment vertical="center"/>
    </xf>
    <xf numFmtId="164" fontId="0" fillId="13" borderId="2" xfId="0" applyNumberFormat="1" applyFill="1" applyBorder="1" applyAlignment="1">
      <alignment vertical="center"/>
    </xf>
    <xf numFmtId="0" fontId="0" fillId="12" borderId="10" xfId="0" applyFill="1" applyBorder="1" applyAlignment="1">
      <alignment horizontal="center" vertical="center"/>
    </xf>
    <xf numFmtId="0" fontId="0" fillId="12" borderId="9" xfId="0" applyFill="1" applyBorder="1" applyAlignment="1">
      <alignment horizontal="left" vertical="center" indent="1"/>
    </xf>
    <xf numFmtId="164" fontId="0" fillId="12" borderId="36" xfId="0" applyNumberFormat="1" applyFill="1" applyBorder="1" applyAlignment="1">
      <alignment vertical="center"/>
    </xf>
    <xf numFmtId="0" fontId="0" fillId="12" borderId="0" xfId="0" applyFill="1" applyBorder="1" applyAlignment="1">
      <alignment horizontal="center" vertical="center"/>
    </xf>
    <xf numFmtId="0" fontId="0" fillId="12" borderId="17" xfId="0" applyFill="1" applyBorder="1" applyAlignment="1">
      <alignment horizontal="center" vertical="center"/>
    </xf>
    <xf numFmtId="0" fontId="0" fillId="12" borderId="16" xfId="0" applyFill="1" applyBorder="1" applyAlignment="1">
      <alignment horizontal="left" vertical="center" indent="1"/>
    </xf>
    <xf numFmtId="164" fontId="0" fillId="12" borderId="37" xfId="0" applyNumberFormat="1" applyFill="1" applyBorder="1" applyAlignment="1">
      <alignment vertical="center"/>
    </xf>
    <xf numFmtId="164" fontId="0" fillId="12" borderId="10" xfId="0" applyNumberFormat="1" applyFill="1" applyBorder="1" applyAlignment="1">
      <alignment horizontal="center" vertical="center"/>
    </xf>
    <xf numFmtId="164" fontId="0" fillId="12" borderId="0" xfId="0" applyNumberFormat="1" applyFill="1" applyBorder="1" applyAlignment="1">
      <alignment horizontal="center" vertical="center"/>
    </xf>
    <xf numFmtId="164" fontId="0" fillId="12" borderId="17" xfId="0" applyNumberFormat="1" applyFill="1" applyBorder="1" applyAlignment="1">
      <alignment horizontal="center" vertical="center"/>
    </xf>
    <xf numFmtId="164" fontId="0" fillId="13" borderId="0" xfId="0" applyNumberFormat="1" applyFill="1" applyAlignment="1">
      <alignment horizontal="center" vertical="center"/>
    </xf>
    <xf numFmtId="0" fontId="4" fillId="10" borderId="0" xfId="0" applyFont="1" applyFill="1" applyAlignment="1">
      <alignment horizontal="right" vertical="center" indent="1"/>
    </xf>
    <xf numFmtId="0" fontId="4" fillId="2" borderId="17" xfId="0" applyFont="1" applyFill="1" applyBorder="1" applyAlignment="1">
      <alignment horizontal="left" vertical="center" indent="1"/>
    </xf>
    <xf numFmtId="0" fontId="4" fillId="2" borderId="17" xfId="0" applyFont="1" applyFill="1" applyBorder="1" applyAlignment="1">
      <alignment vertical="center"/>
    </xf>
    <xf numFmtId="0" fontId="4" fillId="14" borderId="0" xfId="0" applyFont="1" applyFill="1" applyAlignment="1">
      <alignment horizontal="left" vertical="center" indent="2"/>
    </xf>
    <xf numFmtId="0" fontId="4" fillId="14" borderId="0" xfId="0" applyFont="1" applyFill="1" applyAlignment="1">
      <alignment horizontal="left" vertical="center" indent="1"/>
    </xf>
    <xf numFmtId="0" fontId="0" fillId="16" borderId="2" xfId="0" applyFill="1" applyBorder="1" applyAlignment="1">
      <alignment horizontal="left" vertical="center" indent="1"/>
    </xf>
    <xf numFmtId="164" fontId="0" fillId="16" borderId="2" xfId="0" applyNumberFormat="1" applyFill="1" applyBorder="1" applyAlignment="1">
      <alignment vertical="center"/>
    </xf>
    <xf numFmtId="167" fontId="0" fillId="16" borderId="2" xfId="0" applyNumberFormat="1" applyFill="1" applyBorder="1" applyAlignment="1">
      <alignment horizontal="right" vertical="center" indent="1"/>
    </xf>
    <xf numFmtId="0" fontId="0" fillId="16" borderId="2" xfId="0" applyFill="1" applyBorder="1" applyAlignment="1">
      <alignment horizontal="right" vertical="center" indent="1"/>
    </xf>
    <xf numFmtId="0" fontId="4" fillId="14" borderId="0" xfId="0" applyFont="1" applyFill="1" applyAlignment="1">
      <alignment horizontal="center" vertical="center"/>
    </xf>
    <xf numFmtId="0" fontId="4" fillId="14" borderId="36" xfId="0" applyFont="1" applyFill="1" applyBorder="1" applyAlignment="1">
      <alignment horizontal="center" vertical="center"/>
    </xf>
    <xf numFmtId="168" fontId="0" fillId="15" borderId="1" xfId="0" applyNumberFormat="1" applyFill="1" applyBorder="1" applyAlignment="1">
      <alignment vertical="center"/>
    </xf>
    <xf numFmtId="0" fontId="0" fillId="11" borderId="0" xfId="0" applyFill="1" applyAlignment="1">
      <alignment vertical="center"/>
    </xf>
    <xf numFmtId="164" fontId="0" fillId="16" borderId="10" xfId="0" applyNumberFormat="1" applyFill="1" applyBorder="1" applyAlignment="1">
      <alignment vertical="center"/>
    </xf>
    <xf numFmtId="0" fontId="0" fillId="16" borderId="36" xfId="0" applyFill="1" applyBorder="1" applyAlignment="1">
      <alignment horizontal="left" vertical="center" indent="1"/>
    </xf>
    <xf numFmtId="164" fontId="0" fillId="16" borderId="36" xfId="0" applyNumberFormat="1" applyFill="1" applyBorder="1" applyAlignment="1">
      <alignment vertical="center"/>
    </xf>
    <xf numFmtId="167" fontId="0" fillId="16" borderId="36" xfId="0" applyNumberFormat="1" applyFill="1" applyBorder="1" applyAlignment="1">
      <alignment horizontal="right" vertical="center" indent="1"/>
    </xf>
    <xf numFmtId="0" fontId="0" fillId="16" borderId="36" xfId="0" applyFill="1" applyBorder="1" applyAlignment="1">
      <alignment horizontal="right" vertical="center" indent="1"/>
    </xf>
    <xf numFmtId="0" fontId="0" fillId="16" borderId="10" xfId="0" applyFill="1" applyBorder="1" applyAlignment="1">
      <alignment horizontal="left" vertical="center" indent="1"/>
    </xf>
    <xf numFmtId="164" fontId="0" fillId="16" borderId="0" xfId="0" applyNumberFormat="1" applyFill="1" applyBorder="1" applyAlignment="1">
      <alignment vertical="center"/>
    </xf>
    <xf numFmtId="0" fontId="0" fillId="16" borderId="0" xfId="0" applyFill="1" applyBorder="1" applyAlignment="1">
      <alignment horizontal="left" vertical="center" indent="1"/>
    </xf>
    <xf numFmtId="164" fontId="0" fillId="16" borderId="17" xfId="0" applyNumberFormat="1" applyFill="1" applyBorder="1" applyAlignment="1">
      <alignment vertical="center"/>
    </xf>
    <xf numFmtId="0" fontId="0" fillId="16" borderId="37" xfId="0" applyFill="1" applyBorder="1" applyAlignment="1">
      <alignment horizontal="left" vertical="center" indent="1"/>
    </xf>
    <xf numFmtId="164" fontId="0" fillId="16" borderId="37" xfId="0" applyNumberFormat="1" applyFill="1" applyBorder="1" applyAlignment="1">
      <alignment vertical="center"/>
    </xf>
    <xf numFmtId="167" fontId="0" fillId="16" borderId="37" xfId="0" applyNumberFormat="1" applyFill="1" applyBorder="1" applyAlignment="1">
      <alignment horizontal="right" vertical="center" indent="1"/>
    </xf>
    <xf numFmtId="0" fontId="0" fillId="16" borderId="37" xfId="0" applyFill="1" applyBorder="1" applyAlignment="1">
      <alignment horizontal="right" vertical="center" indent="1"/>
    </xf>
    <xf numFmtId="0" fontId="0" fillId="16" borderId="17" xfId="0" applyFill="1" applyBorder="1" applyAlignment="1">
      <alignment horizontal="left" vertical="center" indent="1"/>
    </xf>
    <xf numFmtId="164" fontId="0" fillId="13" borderId="4" xfId="0" applyNumberFormat="1" applyFill="1" applyBorder="1" applyAlignment="1">
      <alignment vertical="center"/>
    </xf>
    <xf numFmtId="167" fontId="0" fillId="13" borderId="4" xfId="0" applyNumberFormat="1" applyFill="1" applyBorder="1" applyAlignment="1">
      <alignment horizontal="right" vertical="center" indent="1"/>
    </xf>
    <xf numFmtId="0" fontId="0" fillId="3" borderId="6" xfId="0" applyFill="1" applyBorder="1" applyAlignment="1">
      <alignment vertical="center"/>
    </xf>
    <xf numFmtId="0" fontId="7" fillId="3" borderId="38" xfId="0" applyFont="1" applyFill="1" applyBorder="1" applyAlignment="1">
      <alignment horizontal="right" vertical="center" indent="1"/>
    </xf>
    <xf numFmtId="10" fontId="0" fillId="17" borderId="17" xfId="0" applyNumberForma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indent="1"/>
    </xf>
    <xf numFmtId="164" fontId="0" fillId="0" borderId="0" xfId="0" applyNumberFormat="1" applyFill="1" applyBorder="1" applyAlignment="1">
      <alignment vertical="center"/>
    </xf>
    <xf numFmtId="164" fontId="0" fillId="0" borderId="0" xfId="0" applyNumberForma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right" vertical="center" indent="1"/>
    </xf>
    <xf numFmtId="164" fontId="0" fillId="0" borderId="0" xfId="0" applyNumberFormat="1" applyFill="1" applyBorder="1" applyAlignment="1">
      <alignment horizontal="right" vertical="center"/>
    </xf>
    <xf numFmtId="164" fontId="0" fillId="0" borderId="0" xfId="0" applyNumberFormat="1" applyFill="1" applyBorder="1" applyAlignment="1">
      <alignment horizontal="left" vertical="center" inden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 indent="1"/>
    </xf>
    <xf numFmtId="10" fontId="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168" fontId="0" fillId="0" borderId="0" xfId="0" applyNumberFormat="1" applyAlignment="1">
      <alignment vertical="center"/>
    </xf>
    <xf numFmtId="0" fontId="4" fillId="3" borderId="0" xfId="0" applyFont="1" applyFill="1" applyBorder="1" applyAlignment="1">
      <alignment horizontal="center" vertical="center"/>
    </xf>
    <xf numFmtId="0" fontId="0" fillId="11" borderId="22" xfId="0" applyFill="1" applyBorder="1" applyAlignment="1">
      <alignment horizontal="center" vertical="center"/>
    </xf>
    <xf numFmtId="0" fontId="0" fillId="11" borderId="18" xfId="0" applyFill="1" applyBorder="1" applyAlignment="1">
      <alignment horizontal="center" vertical="center"/>
    </xf>
    <xf numFmtId="0" fontId="0" fillId="11" borderId="23" xfId="0" applyFill="1" applyBorder="1" applyAlignment="1">
      <alignment horizontal="center" vertical="center"/>
    </xf>
    <xf numFmtId="0" fontId="0" fillId="11" borderId="19" xfId="0" applyFill="1" applyBorder="1" applyAlignment="1">
      <alignment horizontal="center" vertical="center"/>
    </xf>
    <xf numFmtId="0" fontId="0" fillId="11" borderId="24" xfId="0" applyFill="1" applyBorder="1" applyAlignment="1">
      <alignment horizontal="center" vertical="center"/>
    </xf>
    <xf numFmtId="0" fontId="0" fillId="11" borderId="20" xfId="0" applyFill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left" vertical="center" indent="1"/>
    </xf>
    <xf numFmtId="0" fontId="0" fillId="0" borderId="4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left" vertical="center" indent="1"/>
    </xf>
    <xf numFmtId="0" fontId="0" fillId="0" borderId="4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4" borderId="16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0" fillId="9" borderId="34" xfId="0" applyFill="1" applyBorder="1" applyAlignment="1">
      <alignment horizontal="center" vertical="center"/>
    </xf>
    <xf numFmtId="0" fontId="0" fillId="9" borderId="12" xfId="0" applyFill="1" applyBorder="1" applyAlignment="1">
      <alignment horizontal="center" vertical="center"/>
    </xf>
    <xf numFmtId="0" fontId="0" fillId="9" borderId="35" xfId="0" applyFill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166" fontId="0" fillId="0" borderId="13" xfId="0" applyNumberFormat="1" applyBorder="1" applyAlignment="1">
      <alignment horizontal="center" vertical="center"/>
    </xf>
    <xf numFmtId="166" fontId="0" fillId="0" borderId="15" xfId="0" applyNumberFormat="1" applyBorder="1" applyAlignment="1">
      <alignment horizontal="center" vertical="center"/>
    </xf>
    <xf numFmtId="166" fontId="0" fillId="0" borderId="14" xfId="0" applyNumberFormat="1" applyBorder="1" applyAlignment="1">
      <alignment horizontal="center" vertical="center"/>
    </xf>
    <xf numFmtId="165" fontId="0" fillId="0" borderId="0" xfId="0" applyNumberFormat="1" applyAlignment="1">
      <alignment horizontal="left" vertical="center"/>
    </xf>
    <xf numFmtId="0" fontId="4" fillId="6" borderId="0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right" vertical="center"/>
    </xf>
    <xf numFmtId="0" fontId="4" fillId="3" borderId="9" xfId="0" applyFont="1" applyFill="1" applyBorder="1" applyAlignment="1">
      <alignment horizontal="right" vertical="center"/>
    </xf>
    <xf numFmtId="0" fontId="4" fillId="3" borderId="10" xfId="0" applyFont="1" applyFill="1" applyBorder="1" applyAlignment="1">
      <alignment horizontal="right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5" fontId="0" fillId="0" borderId="13" xfId="0" applyNumberFormat="1" applyBorder="1" applyAlignment="1">
      <alignment horizontal="center" vertical="center"/>
    </xf>
    <xf numFmtId="165" fontId="0" fillId="0" borderId="14" xfId="0" applyNumberFormat="1" applyBorder="1" applyAlignment="1">
      <alignment horizontal="center" vertical="center"/>
    </xf>
  </cellXfs>
  <cellStyles count="1">
    <cellStyle name="Normal" xfId="0" builtinId="0"/>
  </cellStyles>
  <dxfs count="22"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b/>
        <i val="0"/>
        <color theme="0"/>
      </font>
      <fill>
        <patternFill>
          <bgColor theme="8" tint="-0.499984740745262"/>
        </patternFill>
      </fill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font>
        <b/>
        <i val="0"/>
        <color theme="0"/>
      </font>
      <fill>
        <patternFill>
          <bgColor theme="8" tint="-0.499984740745262"/>
        </patternFill>
      </fill>
      <border>
        <left style="thin">
          <color theme="0"/>
        </left>
        <top style="thin">
          <color theme="0"/>
        </top>
        <bottom style="thin">
          <color theme="0"/>
        </bottom>
        <vertical/>
        <horizontal/>
      </border>
    </dxf>
    <dxf>
      <font>
        <color theme="8" tint="-0.499984740745262"/>
      </font>
      <fill>
        <patternFill>
          <bgColor theme="8" tint="-0.499984740745262"/>
        </patternFill>
      </fill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b/>
        <i val="0"/>
        <color theme="0"/>
      </font>
      <fill>
        <patternFill>
          <bgColor theme="8" tint="-0.499984740745262"/>
        </patternFill>
      </fill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font>
        <b/>
        <i val="0"/>
        <color theme="0"/>
      </font>
      <fill>
        <patternFill>
          <bgColor theme="8" tint="-0.499984740745262"/>
        </patternFill>
      </fill>
      <border>
        <left style="thin">
          <color theme="0"/>
        </left>
        <top style="thin">
          <color theme="0"/>
        </top>
        <bottom style="thin">
          <color theme="0"/>
        </bottom>
        <vertical/>
        <horizontal/>
      </border>
    </dxf>
    <dxf>
      <font>
        <color theme="8" tint="-0.499984740745262"/>
      </font>
      <fill>
        <patternFill>
          <bgColor theme="8" tint="-0.499984740745262"/>
        </patternFill>
      </fill>
    </dxf>
  </dxfs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KASUS!$BA$3</c:f>
          <c:strCache>
            <c:ptCount val="1"/>
            <c:pt idx="0">
              <c:v>Kursi Daerah Pemilihan  XX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KASUS!$BD$5</c:f>
              <c:strCache>
                <c:ptCount val="1"/>
                <c:pt idx="0">
                  <c:v>Kursi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B91A-4617-84B2-13F15A3BFD5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B91A-4617-84B2-13F15A3BFD5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B91A-4617-84B2-13F15A3BFD5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91A-4617-84B2-13F15A3BFD5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B91A-4617-84B2-13F15A3BFD5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B91A-4617-84B2-13F15A3BFD57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B91A-4617-84B2-13F15A3BFD57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B91A-4617-84B2-13F15A3BFD57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B91A-4617-84B2-13F15A3BFD57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B91A-4617-84B2-13F15A3BFD57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B91A-4617-84B2-13F15A3BFD57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B91A-4617-84B2-13F15A3BFD57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B91A-4617-84B2-13F15A3BFD57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B91A-4617-84B2-13F15A3BFD57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B91A-4617-84B2-13F15A3BFD57}"/>
                </c:ext>
                <c:ext xmlns:c15="http://schemas.microsoft.com/office/drawing/2012/chart" uri="{CE6537A1-D6FC-4f65-9D91-7224C49458BB}"/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B91A-4617-84B2-13F15A3BFD57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spc="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dLblPos val="bestFit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KASUS!$BB$6:$BB$13</c:f>
              <c:strCache>
                <c:ptCount val="8"/>
                <c:pt idx="0">
                  <c:v>Parpol A</c:v>
                </c:pt>
                <c:pt idx="1">
                  <c:v>Parpol B</c:v>
                </c:pt>
                <c:pt idx="2">
                  <c:v>Parpol C</c:v>
                </c:pt>
                <c:pt idx="3">
                  <c:v>Parpol D</c:v>
                </c:pt>
                <c:pt idx="4">
                  <c:v>Parpol E</c:v>
                </c:pt>
                <c:pt idx="5">
                  <c:v>Parpol F</c:v>
                </c:pt>
                <c:pt idx="6">
                  <c:v>Parpol G</c:v>
                </c:pt>
                <c:pt idx="7">
                  <c:v>Parpol H</c:v>
                </c:pt>
              </c:strCache>
            </c:strRef>
          </c:cat>
          <c:val>
            <c:numRef>
              <c:f>KASUS!$BD$6:$BD$13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91A-4617-84B2-13F15A3BFD57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KASUS!$O$4</c:f>
          <c:strCache>
            <c:ptCount val="1"/>
            <c:pt idx="0">
              <c:v>Jumlah Kursi Dapil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KASUS!$R$5</c:f>
              <c:strCache>
                <c:ptCount val="1"/>
                <c:pt idx="0">
                  <c:v>Kursi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E7F7-4162-AEAA-770202595BC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E7F7-4162-AEAA-770202595BC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E7F7-4162-AEAA-770202595BC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E7F7-4162-AEAA-770202595BC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E7F7-4162-AEAA-770202595BCB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E7F7-4162-AEAA-770202595BCB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E7F7-4162-AEAA-770202595BCB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E7F7-4162-AEAA-770202595BCB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E7F7-4162-AEAA-770202595BCB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E7F7-4162-AEAA-770202595BCB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KASUS!$P$6:$P$10</c:f>
              <c:strCache>
                <c:ptCount val="5"/>
                <c:pt idx="0">
                  <c:v>Parpol A</c:v>
                </c:pt>
                <c:pt idx="1">
                  <c:v>Parpol B</c:v>
                </c:pt>
                <c:pt idx="2">
                  <c:v>Parpol C</c:v>
                </c:pt>
                <c:pt idx="3">
                  <c:v>Parpol D</c:v>
                </c:pt>
                <c:pt idx="4">
                  <c:v>Parpol E</c:v>
                </c:pt>
              </c:strCache>
            </c:strRef>
          </c:cat>
          <c:val>
            <c:numRef>
              <c:f>KASUS!$R$6:$R$10</c:f>
              <c:numCache>
                <c:formatCode>#,##0\ \ </c:formatCode>
                <c:ptCount val="5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F7-4162-AEAA-770202595BCB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KASUS!$B$2</c:f>
          <c:strCache>
            <c:ptCount val="1"/>
            <c:pt idx="0">
              <c:v>AMBANG BATAS PEROLEHAN SUARA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100" baseline="0">
              <a:solidFill>
                <a:srgbClr val="FFFF00"/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KASUS!$E$4</c:f>
              <c:strCache>
                <c:ptCount val="1"/>
                <c:pt idx="0">
                  <c:v>Perolehan (%)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KASUS!$C$5:$C$19</c:f>
              <c:strCache>
                <c:ptCount val="15"/>
                <c:pt idx="0">
                  <c:v>Partai Politik A</c:v>
                </c:pt>
                <c:pt idx="1">
                  <c:v>Partai Politik B</c:v>
                </c:pt>
                <c:pt idx="2">
                  <c:v>Partai Politik C</c:v>
                </c:pt>
                <c:pt idx="3">
                  <c:v>Partai Politik D</c:v>
                </c:pt>
                <c:pt idx="4">
                  <c:v>Partai Politik E</c:v>
                </c:pt>
                <c:pt idx="5">
                  <c:v>Partai Politik F</c:v>
                </c:pt>
                <c:pt idx="6">
                  <c:v>Partai Politik G</c:v>
                </c:pt>
                <c:pt idx="7">
                  <c:v>Partai Politik H</c:v>
                </c:pt>
                <c:pt idx="8">
                  <c:v>Partai Politik I</c:v>
                </c:pt>
                <c:pt idx="9">
                  <c:v>Partai Politik J</c:v>
                </c:pt>
                <c:pt idx="10">
                  <c:v>Partai Politik K</c:v>
                </c:pt>
                <c:pt idx="11">
                  <c:v>Partai Politik L</c:v>
                </c:pt>
                <c:pt idx="12">
                  <c:v>Partai Politik M</c:v>
                </c:pt>
                <c:pt idx="13">
                  <c:v>Partai Politik N</c:v>
                </c:pt>
                <c:pt idx="14">
                  <c:v>Partai Politik O</c:v>
                </c:pt>
              </c:strCache>
            </c:strRef>
          </c:cat>
          <c:val>
            <c:numRef>
              <c:f>KASUS!$E$5:$E$19</c:f>
              <c:numCache>
                <c:formatCode>0.000%</c:formatCode>
                <c:ptCount val="15"/>
                <c:pt idx="0">
                  <c:v>3.2110893620708604E-2</c:v>
                </c:pt>
                <c:pt idx="1">
                  <c:v>7.6244516226708664E-2</c:v>
                </c:pt>
                <c:pt idx="2">
                  <c:v>6.9714389386557538E-2</c:v>
                </c:pt>
                <c:pt idx="3">
                  <c:v>4.9700996284093697E-2</c:v>
                </c:pt>
                <c:pt idx="4">
                  <c:v>2.3789459034170138E-2</c:v>
                </c:pt>
                <c:pt idx="5">
                  <c:v>0.13297033386476861</c:v>
                </c:pt>
                <c:pt idx="6">
                  <c:v>1.3441118687880154E-2</c:v>
                </c:pt>
                <c:pt idx="7">
                  <c:v>0.18464312474998021</c:v>
                </c:pt>
                <c:pt idx="8">
                  <c:v>4.9734488197576296E-2</c:v>
                </c:pt>
                <c:pt idx="9">
                  <c:v>9.9207968801207601E-3</c:v>
                </c:pt>
                <c:pt idx="10">
                  <c:v>0.2600516012761741</c:v>
                </c:pt>
                <c:pt idx="11">
                  <c:v>1.8776366172457093E-2</c:v>
                </c:pt>
                <c:pt idx="12">
                  <c:v>2.9453016455239605E-2</c:v>
                </c:pt>
                <c:pt idx="13">
                  <c:v>1.8414006920212875E-2</c:v>
                </c:pt>
                <c:pt idx="14">
                  <c:v>3.103489224335167E-2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15F-498C-8A24-66CFBD3215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-27"/>
        <c:axId val="466385232"/>
        <c:axId val="466385624"/>
      </c:barChart>
      <c:lineChart>
        <c:grouping val="standard"/>
        <c:varyColors val="0"/>
        <c:ser>
          <c:idx val="1"/>
          <c:order val="1"/>
          <c:tx>
            <c:strRef>
              <c:f>KASUS!$I$4</c:f>
              <c:strCache>
                <c:ptCount val="1"/>
                <c:pt idx="0">
                  <c:v>Parliamentary Threshold</c:v>
                </c:pt>
              </c:strCache>
            </c:strRef>
          </c:tx>
          <c:spPr>
            <a:ln w="34925" cap="rnd">
              <a:solidFill>
                <a:srgbClr val="FF00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KASUS!$C$5:$C$19</c:f>
              <c:strCache>
                <c:ptCount val="15"/>
                <c:pt idx="0">
                  <c:v>Partai Politik A</c:v>
                </c:pt>
                <c:pt idx="1">
                  <c:v>Partai Politik B</c:v>
                </c:pt>
                <c:pt idx="2">
                  <c:v>Partai Politik C</c:v>
                </c:pt>
                <c:pt idx="3">
                  <c:v>Partai Politik D</c:v>
                </c:pt>
                <c:pt idx="4">
                  <c:v>Partai Politik E</c:v>
                </c:pt>
                <c:pt idx="5">
                  <c:v>Partai Politik F</c:v>
                </c:pt>
                <c:pt idx="6">
                  <c:v>Partai Politik G</c:v>
                </c:pt>
                <c:pt idx="7">
                  <c:v>Partai Politik H</c:v>
                </c:pt>
                <c:pt idx="8">
                  <c:v>Partai Politik I</c:v>
                </c:pt>
                <c:pt idx="9">
                  <c:v>Partai Politik J</c:v>
                </c:pt>
                <c:pt idx="10">
                  <c:v>Partai Politik K</c:v>
                </c:pt>
                <c:pt idx="11">
                  <c:v>Partai Politik L</c:v>
                </c:pt>
                <c:pt idx="12">
                  <c:v>Partai Politik M</c:v>
                </c:pt>
                <c:pt idx="13">
                  <c:v>Partai Politik N</c:v>
                </c:pt>
                <c:pt idx="14">
                  <c:v>Partai Politik O</c:v>
                </c:pt>
              </c:strCache>
            </c:strRef>
          </c:cat>
          <c:val>
            <c:numRef>
              <c:f>KASUS!$I$5:$I$19</c:f>
              <c:numCache>
                <c:formatCode>0.00%</c:formatCode>
                <c:ptCount val="15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  <c:pt idx="12">
                  <c:v>0.04</c:v>
                </c:pt>
                <c:pt idx="13">
                  <c:v>0.04</c:v>
                </c:pt>
                <c:pt idx="14">
                  <c:v>0.04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15F-498C-8A24-66CFBD3215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6385232"/>
        <c:axId val="466385624"/>
      </c:lineChart>
      <c:catAx>
        <c:axId val="466385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66385624"/>
        <c:crosses val="autoZero"/>
        <c:auto val="1"/>
        <c:lblAlgn val="ctr"/>
        <c:lblOffset val="100"/>
        <c:noMultiLvlLbl val="0"/>
      </c:catAx>
      <c:valAx>
        <c:axId val="466385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0.0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66385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LATIH!$BA$3</c:f>
          <c:strCache>
            <c:ptCount val="1"/>
            <c:pt idx="0">
              <c:v>Kursi Daerah Pemilihan  XX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LATIH!$BD$5</c:f>
              <c:strCache>
                <c:ptCount val="1"/>
                <c:pt idx="0">
                  <c:v>Kursi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B91A-4617-84B2-13F15A3BFD5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B91A-4617-84B2-13F15A3BFD5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B91A-4617-84B2-13F15A3BFD5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91A-4617-84B2-13F15A3BFD5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B91A-4617-84B2-13F15A3BFD5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B91A-4617-84B2-13F15A3BFD57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B91A-4617-84B2-13F15A3BFD57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B91A-4617-84B2-13F15A3BFD57}"/>
              </c:ext>
            </c:extLst>
          </c:dPt>
          <c:dLbls>
            <c:dLbl>
              <c:idx val="0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B91A-4617-84B2-13F15A3BFD5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B91A-4617-84B2-13F15A3BFD5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B91A-4617-84B2-13F15A3BFD5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B91A-4617-84B2-13F15A3BFD5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B91A-4617-84B2-13F15A3BFD5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B91A-4617-84B2-13F15A3BFD5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B91A-4617-84B2-13F15A3BFD5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B91A-4617-84B2-13F15A3BFD5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spc="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dLblPos val="bestFit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LATIH!$BB$6:$BB$13</c:f>
              <c:strCache>
                <c:ptCount val="8"/>
                <c:pt idx="0">
                  <c:v>Parpol A</c:v>
                </c:pt>
                <c:pt idx="1">
                  <c:v>Parpol B</c:v>
                </c:pt>
                <c:pt idx="2">
                  <c:v>Parpol C</c:v>
                </c:pt>
                <c:pt idx="3">
                  <c:v>Parpol D</c:v>
                </c:pt>
                <c:pt idx="4">
                  <c:v>Parpol E</c:v>
                </c:pt>
                <c:pt idx="5">
                  <c:v>Parpol F</c:v>
                </c:pt>
                <c:pt idx="6">
                  <c:v>Parpol G</c:v>
                </c:pt>
                <c:pt idx="7">
                  <c:v>Parpol H</c:v>
                </c:pt>
              </c:strCache>
            </c:strRef>
          </c:cat>
          <c:val>
            <c:numRef>
              <c:f>LATIH!$BD$6:$BD$13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91A-4617-84B2-13F15A3BFD57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LATIH!$O$4</c:f>
          <c:strCache>
            <c:ptCount val="1"/>
            <c:pt idx="0">
              <c:v>Jumlah Kursi Dapil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LATIH!$R$5</c:f>
              <c:strCache>
                <c:ptCount val="1"/>
                <c:pt idx="0">
                  <c:v>Kursi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E7F7-4162-AEAA-770202595BC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E7F7-4162-AEAA-770202595BC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E7F7-4162-AEAA-770202595BC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E7F7-4162-AEAA-770202595BC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E7F7-4162-AEAA-770202595BCB}"/>
              </c:ext>
            </c:extLst>
          </c:dPt>
          <c:dLbls>
            <c:dLbl>
              <c:idx val="0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E7F7-4162-AEAA-770202595BC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E7F7-4162-AEAA-770202595BC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E7F7-4162-AEAA-770202595BC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E7F7-4162-AEAA-770202595BC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E7F7-4162-AEAA-770202595BC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LATIH!$P$6:$P$10</c:f>
              <c:strCache>
                <c:ptCount val="5"/>
                <c:pt idx="0">
                  <c:v>Parpol A</c:v>
                </c:pt>
                <c:pt idx="1">
                  <c:v>Parpol B</c:v>
                </c:pt>
                <c:pt idx="2">
                  <c:v>Parpol C</c:v>
                </c:pt>
                <c:pt idx="3">
                  <c:v>Parpol D</c:v>
                </c:pt>
                <c:pt idx="4">
                  <c:v>Parpol E</c:v>
                </c:pt>
              </c:strCache>
            </c:strRef>
          </c:cat>
          <c:val>
            <c:numRef>
              <c:f>LATIH!$R$6:$R$10</c:f>
              <c:numCache>
                <c:formatCode>#,##0\ \ 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F7-4162-AEAA-770202595BCB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LATIH!$B$2</c:f>
          <c:strCache>
            <c:ptCount val="1"/>
            <c:pt idx="0">
              <c:v>AMBANG BATAS PEROLEHAN SUARA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100" baseline="0">
              <a:solidFill>
                <a:srgbClr val="FFFF00"/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LATIH!$E$4</c:f>
              <c:strCache>
                <c:ptCount val="1"/>
                <c:pt idx="0">
                  <c:v>Perolehan (%)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LATIH!$C$5:$C$19</c:f>
              <c:strCache>
                <c:ptCount val="15"/>
                <c:pt idx="0">
                  <c:v>Partai Politik A</c:v>
                </c:pt>
                <c:pt idx="1">
                  <c:v>Partai Politik B</c:v>
                </c:pt>
                <c:pt idx="2">
                  <c:v>Partai Politik C</c:v>
                </c:pt>
                <c:pt idx="3">
                  <c:v>Partai Politik D</c:v>
                </c:pt>
                <c:pt idx="4">
                  <c:v>Partai Politik E</c:v>
                </c:pt>
                <c:pt idx="5">
                  <c:v>Partai Politik F</c:v>
                </c:pt>
                <c:pt idx="6">
                  <c:v>Partai Politik G</c:v>
                </c:pt>
                <c:pt idx="7">
                  <c:v>Partai Politik H</c:v>
                </c:pt>
                <c:pt idx="8">
                  <c:v>Partai Politik I</c:v>
                </c:pt>
                <c:pt idx="9">
                  <c:v>Partai Politik J</c:v>
                </c:pt>
                <c:pt idx="10">
                  <c:v>Partai Politik K</c:v>
                </c:pt>
                <c:pt idx="11">
                  <c:v>Partai Politik L</c:v>
                </c:pt>
                <c:pt idx="12">
                  <c:v>Partai Politik M</c:v>
                </c:pt>
                <c:pt idx="13">
                  <c:v>Partai Politik N</c:v>
                </c:pt>
                <c:pt idx="14">
                  <c:v>Partai Politik O</c:v>
                </c:pt>
              </c:strCache>
            </c:strRef>
          </c:cat>
          <c:val>
            <c:numRef>
              <c:f>LATIH!$E$5:$E$19</c:f>
              <c:numCache>
                <c:formatCode>0.000%</c:formatCode>
                <c:ptCount val="15"/>
                <c:pt idx="0">
                  <c:v>3.2110893620708604E-2</c:v>
                </c:pt>
                <c:pt idx="1">
                  <c:v>7.6244516226708664E-2</c:v>
                </c:pt>
                <c:pt idx="2">
                  <c:v>6.9714389386557538E-2</c:v>
                </c:pt>
                <c:pt idx="3">
                  <c:v>4.9700996284093697E-2</c:v>
                </c:pt>
                <c:pt idx="4">
                  <c:v>2.3789459034170138E-2</c:v>
                </c:pt>
                <c:pt idx="5">
                  <c:v>0.13297033386476861</c:v>
                </c:pt>
                <c:pt idx="6">
                  <c:v>1.3441118687880154E-2</c:v>
                </c:pt>
                <c:pt idx="7">
                  <c:v>0.18464312474998021</c:v>
                </c:pt>
                <c:pt idx="8">
                  <c:v>4.9734488197576296E-2</c:v>
                </c:pt>
                <c:pt idx="9">
                  <c:v>9.9207968801207601E-3</c:v>
                </c:pt>
                <c:pt idx="10">
                  <c:v>0.2600516012761741</c:v>
                </c:pt>
                <c:pt idx="11">
                  <c:v>1.8776366172457093E-2</c:v>
                </c:pt>
                <c:pt idx="12">
                  <c:v>2.9453016455239605E-2</c:v>
                </c:pt>
                <c:pt idx="13">
                  <c:v>1.8414006920212875E-2</c:v>
                </c:pt>
                <c:pt idx="14">
                  <c:v>3.103489224335167E-2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15F-498C-8A24-66CFBD3215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-27"/>
        <c:axId val="505920464"/>
        <c:axId val="505920856"/>
      </c:barChart>
      <c:lineChart>
        <c:grouping val="standard"/>
        <c:varyColors val="0"/>
        <c:ser>
          <c:idx val="1"/>
          <c:order val="1"/>
          <c:tx>
            <c:strRef>
              <c:f>LATIH!$I$4</c:f>
              <c:strCache>
                <c:ptCount val="1"/>
                <c:pt idx="0">
                  <c:v>Parliamentary Threshold</c:v>
                </c:pt>
              </c:strCache>
            </c:strRef>
          </c:tx>
          <c:spPr>
            <a:ln w="34925" cap="rnd">
              <a:solidFill>
                <a:srgbClr val="FF00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LATIH!$C$5:$C$19</c:f>
              <c:strCache>
                <c:ptCount val="15"/>
                <c:pt idx="0">
                  <c:v>Partai Politik A</c:v>
                </c:pt>
                <c:pt idx="1">
                  <c:v>Partai Politik B</c:v>
                </c:pt>
                <c:pt idx="2">
                  <c:v>Partai Politik C</c:v>
                </c:pt>
                <c:pt idx="3">
                  <c:v>Partai Politik D</c:v>
                </c:pt>
                <c:pt idx="4">
                  <c:v>Partai Politik E</c:v>
                </c:pt>
                <c:pt idx="5">
                  <c:v>Partai Politik F</c:v>
                </c:pt>
                <c:pt idx="6">
                  <c:v>Partai Politik G</c:v>
                </c:pt>
                <c:pt idx="7">
                  <c:v>Partai Politik H</c:v>
                </c:pt>
                <c:pt idx="8">
                  <c:v>Partai Politik I</c:v>
                </c:pt>
                <c:pt idx="9">
                  <c:v>Partai Politik J</c:v>
                </c:pt>
                <c:pt idx="10">
                  <c:v>Partai Politik K</c:v>
                </c:pt>
                <c:pt idx="11">
                  <c:v>Partai Politik L</c:v>
                </c:pt>
                <c:pt idx="12">
                  <c:v>Partai Politik M</c:v>
                </c:pt>
                <c:pt idx="13">
                  <c:v>Partai Politik N</c:v>
                </c:pt>
                <c:pt idx="14">
                  <c:v>Partai Politik O</c:v>
                </c:pt>
              </c:strCache>
            </c:strRef>
          </c:cat>
          <c:val>
            <c:numRef>
              <c:f>LATIH!$I$5:$I$19</c:f>
              <c:numCache>
                <c:formatCode>0.00%</c:formatCode>
                <c:ptCount val="15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  <c:pt idx="12">
                  <c:v>0.04</c:v>
                </c:pt>
                <c:pt idx="13">
                  <c:v>0.04</c:v>
                </c:pt>
                <c:pt idx="14">
                  <c:v>0.04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15F-498C-8A24-66CFBD3215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5920464"/>
        <c:axId val="505920856"/>
      </c:lineChart>
      <c:catAx>
        <c:axId val="505920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05920856"/>
        <c:crosses val="autoZero"/>
        <c:auto val="1"/>
        <c:lblAlgn val="ctr"/>
        <c:lblOffset val="100"/>
        <c:noMultiLvlLbl val="0"/>
      </c:catAx>
      <c:valAx>
        <c:axId val="505920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0.0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05920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gradFill>
        <a:gsLst>
          <a:gs pos="100000">
            <a:schemeClr val="dk1">
              <a:lumMod val="95000"/>
              <a:lumOff val="5000"/>
            </a:schemeClr>
          </a:gs>
          <a:gs pos="0">
            <a:schemeClr val="dk1">
              <a:lumMod val="75000"/>
              <a:lumOff val="25000"/>
            </a:schemeClr>
          </a:gs>
        </a:gsLst>
        <a:path path="circle">
          <a:fillToRect l="50000" t="50000" r="50000" b="50000"/>
        </a:path>
      </a:gradFill>
      <a:ln w="9525">
        <a:solidFill>
          <a:schemeClr val="dk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gradFill>
        <a:gsLst>
          <a:gs pos="100000">
            <a:schemeClr val="lt1">
              <a:lumMod val="85000"/>
            </a:schemeClr>
          </a:gs>
          <a:gs pos="0">
            <a:schemeClr val="lt1"/>
          </a:gs>
        </a:gsLst>
        <a:path path="circle">
          <a:fillToRect l="50000" t="50000" r="50000" b="50000"/>
        </a:path>
      </a:gradFill>
      <a:ln w="9525" cap="flat" cmpd="sng" algn="ctr">
        <a:solidFill>
          <a:schemeClr val="lt1"/>
        </a:solidFill>
        <a:round/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2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gradFill>
        <a:gsLst>
          <a:gs pos="100000">
            <a:schemeClr val="dk1">
              <a:lumMod val="95000"/>
              <a:lumOff val="5000"/>
            </a:schemeClr>
          </a:gs>
          <a:gs pos="0">
            <a:schemeClr val="dk1">
              <a:lumMod val="75000"/>
              <a:lumOff val="25000"/>
            </a:schemeClr>
          </a:gs>
        </a:gsLst>
        <a:path path="circle">
          <a:fillToRect l="50000" t="50000" r="50000" b="50000"/>
        </a:path>
      </a:gradFill>
      <a:ln w="9525">
        <a:solidFill>
          <a:schemeClr val="dk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gradFill>
        <a:gsLst>
          <a:gs pos="100000">
            <a:schemeClr val="lt1">
              <a:lumMod val="85000"/>
            </a:schemeClr>
          </a:gs>
          <a:gs pos="0">
            <a:schemeClr val="lt1"/>
          </a:gs>
        </a:gsLst>
        <a:path path="circle">
          <a:fillToRect l="50000" t="50000" r="50000" b="50000"/>
        </a:path>
      </a:gradFill>
      <a:ln w="9525" cap="flat" cmpd="sng" algn="ctr">
        <a:solidFill>
          <a:schemeClr val="lt1"/>
        </a:solidFill>
        <a:round/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trlProps/ctrlProp1.xml><?xml version="1.0" encoding="utf-8"?>
<formControlPr xmlns="http://schemas.microsoft.com/office/spreadsheetml/2009/9/main" objectType="Scroll" dx="22" fmlaLink="$Q$4" horiz="1" max="6" min="3" page="10" val="6"/>
</file>

<file path=xl/ctrlProps/ctrlProp2.xml><?xml version="1.0" encoding="utf-8"?>
<formControlPr xmlns="http://schemas.microsoft.com/office/spreadsheetml/2009/9/main" objectType="Scroll" dx="22" fmlaLink="$BM$4" horiz="1" max="8" min="1" page="10"/>
</file>

<file path=xl/ctrlProps/ctrlProp3.xml><?xml version="1.0" encoding="utf-8"?>
<formControlPr xmlns="http://schemas.microsoft.com/office/spreadsheetml/2009/9/main" objectType="Scroll" dx="22" fmlaLink="$A$3" horiz="1" inc="25" max="600" min="250" page="10" val="400"/>
</file>

<file path=xl/ctrlProps/ctrlProp4.xml><?xml version="1.0" encoding="utf-8"?>
<formControlPr xmlns="http://schemas.microsoft.com/office/spreadsheetml/2009/9/main" objectType="Scroll" dx="22" fmlaLink="$Q$4" horiz="1" max="6" min="3" page="10" val="6"/>
</file>

<file path=xl/ctrlProps/ctrlProp5.xml><?xml version="1.0" encoding="utf-8"?>
<formControlPr xmlns="http://schemas.microsoft.com/office/spreadsheetml/2009/9/main" objectType="Scroll" dx="22" fmlaLink="$BM$4" horiz="1" max="8" min="1" page="10"/>
</file>

<file path=xl/ctrlProps/ctrlProp6.xml><?xml version="1.0" encoding="utf-8"?>
<formControlPr xmlns="http://schemas.microsoft.com/office/spreadsheetml/2009/9/main" objectType="Scroll" dx="22" fmlaLink="$A$3" horiz="1" inc="25" max="600" min="250" page="10" val="400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600075</xdr:colOff>
          <xdr:row>3</xdr:row>
          <xdr:rowOff>28575</xdr:rowOff>
        </xdr:from>
        <xdr:to>
          <xdr:col>16</xdr:col>
          <xdr:colOff>228600</xdr:colOff>
          <xdr:row>3</xdr:row>
          <xdr:rowOff>190500</xdr:rowOff>
        </xdr:to>
        <xdr:sp macro="" textlink="">
          <xdr:nvSpPr>
            <xdr:cNvPr id="2049" name="Scroll Bar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=""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63</xdr:col>
          <xdr:colOff>142875</xdr:colOff>
          <xdr:row>3</xdr:row>
          <xdr:rowOff>19050</xdr:rowOff>
        </xdr:from>
        <xdr:to>
          <xdr:col>63</xdr:col>
          <xdr:colOff>628650</xdr:colOff>
          <xdr:row>3</xdr:row>
          <xdr:rowOff>180975</xdr:rowOff>
        </xdr:to>
        <xdr:sp macro="" textlink="">
          <xdr:nvSpPr>
            <xdr:cNvPr id="2052" name="Scroll Bar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=""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69</xdr:col>
      <xdr:colOff>400050</xdr:colOff>
      <xdr:row>13</xdr:row>
      <xdr:rowOff>28574</xdr:rowOff>
    </xdr:from>
    <xdr:to>
      <xdr:col>70</xdr:col>
      <xdr:colOff>228600</xdr:colOff>
      <xdr:row>14</xdr:row>
      <xdr:rowOff>133349</xdr:rowOff>
    </xdr:to>
    <xdr:sp macro="" textlink="">
      <xdr:nvSpPr>
        <xdr:cNvPr id="2" name="Arrow: Up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/>
      </xdr:nvSpPr>
      <xdr:spPr>
        <a:xfrm>
          <a:off x="54625875" y="2809874"/>
          <a:ext cx="438150" cy="295275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76</xdr:col>
      <xdr:colOff>390525</xdr:colOff>
      <xdr:row>15</xdr:row>
      <xdr:rowOff>38100</xdr:rowOff>
    </xdr:from>
    <xdr:to>
      <xdr:col>77</xdr:col>
      <xdr:colOff>219075</xdr:colOff>
      <xdr:row>16</xdr:row>
      <xdr:rowOff>142875</xdr:rowOff>
    </xdr:to>
    <xdr:sp macro="" textlink="">
      <xdr:nvSpPr>
        <xdr:cNvPr id="7" name="Arrow: Up 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/>
      </xdr:nvSpPr>
      <xdr:spPr>
        <a:xfrm>
          <a:off x="52997100" y="3086100"/>
          <a:ext cx="438150" cy="295275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oneCellAnchor>
    <xdr:from>
      <xdr:col>27</xdr:col>
      <xdr:colOff>301420</xdr:colOff>
      <xdr:row>1</xdr:row>
      <xdr:rowOff>171450</xdr:rowOff>
    </xdr:from>
    <xdr:ext cx="902106" cy="374141"/>
    <xdr:sp macro="" textlink="">
      <xdr:nvSpPr>
        <xdr:cNvPr id="3" name="Rectangle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/>
      </xdr:nvSpPr>
      <xdr:spPr>
        <a:xfrm>
          <a:off x="12569620" y="419100"/>
          <a:ext cx="902106" cy="3741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8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Kasus 3</a:t>
          </a:r>
        </a:p>
      </xdr:txBody>
    </xdr:sp>
    <xdr:clientData/>
  </xdr:oneCellAnchor>
  <xdr:oneCellAnchor>
    <xdr:from>
      <xdr:col>7</xdr:col>
      <xdr:colOff>123826</xdr:colOff>
      <xdr:row>1</xdr:row>
      <xdr:rowOff>149682</xdr:rowOff>
    </xdr:from>
    <xdr:ext cx="902106" cy="374141"/>
    <xdr:sp macro="" textlink="">
      <xdr:nvSpPr>
        <xdr:cNvPr id="9" name="Rectangle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/>
      </xdr:nvSpPr>
      <xdr:spPr>
        <a:xfrm>
          <a:off x="5629276" y="397332"/>
          <a:ext cx="902106" cy="3741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8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Kasus 1</a:t>
          </a:r>
        </a:p>
      </xdr:txBody>
    </xdr:sp>
    <xdr:clientData/>
  </xdr:oneCellAnchor>
  <xdr:oneCellAnchor>
    <xdr:from>
      <xdr:col>27</xdr:col>
      <xdr:colOff>295275</xdr:colOff>
      <xdr:row>12</xdr:row>
      <xdr:rowOff>123825</xdr:rowOff>
    </xdr:from>
    <xdr:ext cx="902106" cy="374141"/>
    <xdr:sp macro="" textlink="">
      <xdr:nvSpPr>
        <xdr:cNvPr id="10" name="Rectangle 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/>
      </xdr:nvSpPr>
      <xdr:spPr>
        <a:xfrm>
          <a:off x="23412450" y="2581275"/>
          <a:ext cx="902106" cy="3741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8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Kasus 4</a:t>
          </a:r>
        </a:p>
      </xdr:txBody>
    </xdr:sp>
    <xdr:clientData/>
  </xdr:oneCellAnchor>
  <xdr:oneCellAnchor>
    <xdr:from>
      <xdr:col>35</xdr:col>
      <xdr:colOff>314325</xdr:colOff>
      <xdr:row>1</xdr:row>
      <xdr:rowOff>190500</xdr:rowOff>
    </xdr:from>
    <xdr:ext cx="902106" cy="374141"/>
    <xdr:sp macro="" textlink="">
      <xdr:nvSpPr>
        <xdr:cNvPr id="11" name="Rectangle 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/>
      </xdr:nvSpPr>
      <xdr:spPr>
        <a:xfrm>
          <a:off x="28632150" y="438150"/>
          <a:ext cx="902106" cy="3741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8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Kasus 5</a:t>
          </a:r>
        </a:p>
      </xdr:txBody>
    </xdr:sp>
    <xdr:clientData/>
  </xdr:oneCellAnchor>
  <xdr:oneCellAnchor>
    <xdr:from>
      <xdr:col>35</xdr:col>
      <xdr:colOff>323850</xdr:colOff>
      <xdr:row>12</xdr:row>
      <xdr:rowOff>95250</xdr:rowOff>
    </xdr:from>
    <xdr:ext cx="902106" cy="374141"/>
    <xdr:sp macro="" textlink="">
      <xdr:nvSpPr>
        <xdr:cNvPr id="12" name="Rectangle 1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/>
      </xdr:nvSpPr>
      <xdr:spPr>
        <a:xfrm>
          <a:off x="28641675" y="2552700"/>
          <a:ext cx="902106" cy="3741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8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Kasus 6</a:t>
          </a:r>
        </a:p>
      </xdr:txBody>
    </xdr:sp>
    <xdr:clientData/>
  </xdr:oneCellAnchor>
  <xdr:oneCellAnchor>
    <xdr:from>
      <xdr:col>43</xdr:col>
      <xdr:colOff>304800</xdr:colOff>
      <xdr:row>1</xdr:row>
      <xdr:rowOff>171450</xdr:rowOff>
    </xdr:from>
    <xdr:ext cx="902106" cy="374141"/>
    <xdr:sp macro="" textlink="">
      <xdr:nvSpPr>
        <xdr:cNvPr id="13" name="Rectangle 12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/>
      </xdr:nvSpPr>
      <xdr:spPr>
        <a:xfrm>
          <a:off x="33680400" y="419100"/>
          <a:ext cx="902106" cy="3741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8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Kasus 7</a:t>
          </a:r>
        </a:p>
      </xdr:txBody>
    </xdr:sp>
    <xdr:clientData/>
  </xdr:oneCellAnchor>
  <xdr:oneCellAnchor>
    <xdr:from>
      <xdr:col>43</xdr:col>
      <xdr:colOff>304800</xdr:colOff>
      <xdr:row>12</xdr:row>
      <xdr:rowOff>76200</xdr:rowOff>
    </xdr:from>
    <xdr:ext cx="902106" cy="374141"/>
    <xdr:sp macro="" textlink="">
      <xdr:nvSpPr>
        <xdr:cNvPr id="14" name="Rectangle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/>
      </xdr:nvSpPr>
      <xdr:spPr>
        <a:xfrm>
          <a:off x="33680400" y="2533650"/>
          <a:ext cx="902106" cy="3741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8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Kasus 8</a:t>
          </a:r>
        </a:p>
      </xdr:txBody>
    </xdr:sp>
    <xdr:clientData/>
  </xdr:oneCellAnchor>
  <xdr:oneCellAnchor>
    <xdr:from>
      <xdr:col>51</xdr:col>
      <xdr:colOff>291744</xdr:colOff>
      <xdr:row>0</xdr:row>
      <xdr:rowOff>154863</xdr:rowOff>
    </xdr:from>
    <xdr:ext cx="902106" cy="374141"/>
    <xdr:sp macro="" textlink="">
      <xdr:nvSpPr>
        <xdr:cNvPr id="15" name="Rectangle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/>
      </xdr:nvSpPr>
      <xdr:spPr>
        <a:xfrm>
          <a:off x="38680705" y="154863"/>
          <a:ext cx="902106" cy="3741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8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Kasus 9</a:t>
          </a:r>
        </a:p>
      </xdr:txBody>
    </xdr:sp>
    <xdr:clientData/>
  </xdr:oneCellAnchor>
  <xdr:twoCellAnchor>
    <xdr:from>
      <xdr:col>52</xdr:col>
      <xdr:colOff>0</xdr:colOff>
      <xdr:row>14</xdr:row>
      <xdr:rowOff>123825</xdr:rowOff>
    </xdr:from>
    <xdr:to>
      <xdr:col>59</xdr:col>
      <xdr:colOff>381001</xdr:colOff>
      <xdr:row>28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2</xdr:row>
          <xdr:rowOff>19050</xdr:rowOff>
        </xdr:from>
        <xdr:to>
          <xdr:col>3</xdr:col>
          <xdr:colOff>714375</xdr:colOff>
          <xdr:row>2</xdr:row>
          <xdr:rowOff>180975</xdr:rowOff>
        </xdr:to>
        <xdr:sp macro="" textlink="">
          <xdr:nvSpPr>
            <xdr:cNvPr id="2131" name="Scroll Bar 83" hidden="1">
              <a:extLst>
                <a:ext uri="{63B3BB69-23CF-44E3-9099-C40C66FF867C}">
                  <a14:compatExt spid="_x0000_s2131"/>
                </a:ext>
                <a:ext uri="{FF2B5EF4-FFF2-40B4-BE49-F238E27FC236}">
                  <a16:creationId xmlns="" xmlns:a16="http://schemas.microsoft.com/office/drawing/2014/main" id="{00000000-0008-0000-0000-00005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oneCellAnchor>
    <xdr:from>
      <xdr:col>16</xdr:col>
      <xdr:colOff>542925</xdr:colOff>
      <xdr:row>1</xdr:row>
      <xdr:rowOff>142875</xdr:rowOff>
    </xdr:from>
    <xdr:ext cx="902106" cy="374141"/>
    <xdr:sp macro="" textlink="">
      <xdr:nvSpPr>
        <xdr:cNvPr id="20" name="Rectangle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/>
      </xdr:nvSpPr>
      <xdr:spPr>
        <a:xfrm>
          <a:off x="23155275" y="390525"/>
          <a:ext cx="902106" cy="3741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8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Kasus 2</a:t>
          </a:r>
        </a:p>
      </xdr:txBody>
    </xdr:sp>
    <xdr:clientData/>
  </xdr:oneCellAnchor>
  <xdr:twoCellAnchor>
    <xdr:from>
      <xdr:col>11</xdr:col>
      <xdr:colOff>14287</xdr:colOff>
      <xdr:row>12</xdr:row>
      <xdr:rowOff>0</xdr:rowOff>
    </xdr:from>
    <xdr:to>
      <xdr:col>17</xdr:col>
      <xdr:colOff>581025</xdr:colOff>
      <xdr:row>26</xdr:row>
      <xdr:rowOff>57150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390524</xdr:colOff>
      <xdr:row>2</xdr:row>
      <xdr:rowOff>9525</xdr:rowOff>
    </xdr:from>
    <xdr:to>
      <xdr:col>9</xdr:col>
      <xdr:colOff>7286624</xdr:colOff>
      <xdr:row>25</xdr:row>
      <xdr:rowOff>19050</xdr:rowOff>
    </xdr:to>
    <xdr:graphicFrame macro="">
      <xdr:nvGraphicFramePr>
        <xdr:cNvPr id="4" name="Chart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419100</xdr:colOff>
      <xdr:row>7</xdr:row>
      <xdr:rowOff>76200</xdr:rowOff>
    </xdr:from>
    <xdr:to>
      <xdr:col>12</xdr:col>
      <xdr:colOff>219075</xdr:colOff>
      <xdr:row>8</xdr:row>
      <xdr:rowOff>152400</xdr:rowOff>
    </xdr:to>
    <xdr:sp macro="" textlink="">
      <xdr:nvSpPr>
        <xdr:cNvPr id="8" name="Arrow: Up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/>
      </xdr:nvSpPr>
      <xdr:spPr>
        <a:xfrm>
          <a:off x="14897100" y="1581150"/>
          <a:ext cx="409575" cy="266700"/>
        </a:xfrm>
        <a:prstGeom prst="upArrow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22</xdr:col>
      <xdr:colOff>123825</xdr:colOff>
      <xdr:row>21</xdr:row>
      <xdr:rowOff>95250</xdr:rowOff>
    </xdr:from>
    <xdr:to>
      <xdr:col>23</xdr:col>
      <xdr:colOff>114300</xdr:colOff>
      <xdr:row>22</xdr:row>
      <xdr:rowOff>171450</xdr:rowOff>
    </xdr:to>
    <xdr:sp macro="" textlink="">
      <xdr:nvSpPr>
        <xdr:cNvPr id="21" name="Arrow: Up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/>
      </xdr:nvSpPr>
      <xdr:spPr>
        <a:xfrm>
          <a:off x="21145500" y="4305300"/>
          <a:ext cx="409575" cy="266700"/>
        </a:xfrm>
        <a:prstGeom prst="upArrow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600075</xdr:colOff>
          <xdr:row>3</xdr:row>
          <xdr:rowOff>28575</xdr:rowOff>
        </xdr:from>
        <xdr:to>
          <xdr:col>16</xdr:col>
          <xdr:colOff>228600</xdr:colOff>
          <xdr:row>3</xdr:row>
          <xdr:rowOff>190500</xdr:rowOff>
        </xdr:to>
        <xdr:sp macro="" textlink="">
          <xdr:nvSpPr>
            <xdr:cNvPr id="3073" name="Scroll Bar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=""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63</xdr:col>
          <xdr:colOff>142875</xdr:colOff>
          <xdr:row>3</xdr:row>
          <xdr:rowOff>19050</xdr:rowOff>
        </xdr:from>
        <xdr:to>
          <xdr:col>63</xdr:col>
          <xdr:colOff>628650</xdr:colOff>
          <xdr:row>3</xdr:row>
          <xdr:rowOff>180975</xdr:rowOff>
        </xdr:to>
        <xdr:sp macro="" textlink="">
          <xdr:nvSpPr>
            <xdr:cNvPr id="3074" name="Scroll Bar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=""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69</xdr:col>
      <xdr:colOff>400050</xdr:colOff>
      <xdr:row>13</xdr:row>
      <xdr:rowOff>28574</xdr:rowOff>
    </xdr:from>
    <xdr:to>
      <xdr:col>70</xdr:col>
      <xdr:colOff>228600</xdr:colOff>
      <xdr:row>14</xdr:row>
      <xdr:rowOff>133349</xdr:rowOff>
    </xdr:to>
    <xdr:sp macro="" textlink="">
      <xdr:nvSpPr>
        <xdr:cNvPr id="4" name="Arrow: Up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/>
      </xdr:nvSpPr>
      <xdr:spPr>
        <a:xfrm>
          <a:off x="49187100" y="2686049"/>
          <a:ext cx="438150" cy="295275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76</xdr:col>
      <xdr:colOff>390525</xdr:colOff>
      <xdr:row>15</xdr:row>
      <xdr:rowOff>38100</xdr:rowOff>
    </xdr:from>
    <xdr:to>
      <xdr:col>77</xdr:col>
      <xdr:colOff>219075</xdr:colOff>
      <xdr:row>16</xdr:row>
      <xdr:rowOff>142875</xdr:rowOff>
    </xdr:to>
    <xdr:sp macro="" textlink="">
      <xdr:nvSpPr>
        <xdr:cNvPr id="5" name="Arrow: Up 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/>
      </xdr:nvSpPr>
      <xdr:spPr>
        <a:xfrm>
          <a:off x="53263800" y="3086100"/>
          <a:ext cx="438150" cy="304800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oneCellAnchor>
    <xdr:from>
      <xdr:col>27</xdr:col>
      <xdr:colOff>301420</xdr:colOff>
      <xdr:row>1</xdr:row>
      <xdr:rowOff>171450</xdr:rowOff>
    </xdr:from>
    <xdr:ext cx="902106" cy="374141"/>
    <xdr:sp macro="" textlink="">
      <xdr:nvSpPr>
        <xdr:cNvPr id="6" name="Rectangle 5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/>
      </xdr:nvSpPr>
      <xdr:spPr>
        <a:xfrm>
          <a:off x="23418595" y="419100"/>
          <a:ext cx="902106" cy="3741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8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Kasus 3</a:t>
          </a:r>
        </a:p>
      </xdr:txBody>
    </xdr:sp>
    <xdr:clientData/>
  </xdr:oneCellAnchor>
  <xdr:oneCellAnchor>
    <xdr:from>
      <xdr:col>7</xdr:col>
      <xdr:colOff>123826</xdr:colOff>
      <xdr:row>1</xdr:row>
      <xdr:rowOff>149682</xdr:rowOff>
    </xdr:from>
    <xdr:ext cx="902106" cy="374141"/>
    <xdr:sp macro="" textlink="">
      <xdr:nvSpPr>
        <xdr:cNvPr id="7" name="Rectangle 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/>
      </xdr:nvSpPr>
      <xdr:spPr>
        <a:xfrm>
          <a:off x="5629276" y="397332"/>
          <a:ext cx="902106" cy="3741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8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Kasus 1</a:t>
          </a:r>
        </a:p>
      </xdr:txBody>
    </xdr:sp>
    <xdr:clientData/>
  </xdr:oneCellAnchor>
  <xdr:oneCellAnchor>
    <xdr:from>
      <xdr:col>27</xdr:col>
      <xdr:colOff>295275</xdr:colOff>
      <xdr:row>12</xdr:row>
      <xdr:rowOff>123825</xdr:rowOff>
    </xdr:from>
    <xdr:ext cx="902106" cy="374141"/>
    <xdr:sp macro="" textlink="">
      <xdr:nvSpPr>
        <xdr:cNvPr id="8" name="Rectangle 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/>
      </xdr:nvSpPr>
      <xdr:spPr>
        <a:xfrm>
          <a:off x="23412450" y="2581275"/>
          <a:ext cx="902106" cy="3741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8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Kasus 4</a:t>
          </a:r>
        </a:p>
      </xdr:txBody>
    </xdr:sp>
    <xdr:clientData/>
  </xdr:oneCellAnchor>
  <xdr:oneCellAnchor>
    <xdr:from>
      <xdr:col>35</xdr:col>
      <xdr:colOff>314325</xdr:colOff>
      <xdr:row>1</xdr:row>
      <xdr:rowOff>190500</xdr:rowOff>
    </xdr:from>
    <xdr:ext cx="902106" cy="374141"/>
    <xdr:sp macro="" textlink="">
      <xdr:nvSpPr>
        <xdr:cNvPr id="9" name="Rectangle 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/>
      </xdr:nvSpPr>
      <xdr:spPr>
        <a:xfrm>
          <a:off x="28632150" y="438150"/>
          <a:ext cx="902106" cy="3741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8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Kasus 5</a:t>
          </a:r>
        </a:p>
      </xdr:txBody>
    </xdr:sp>
    <xdr:clientData/>
  </xdr:oneCellAnchor>
  <xdr:oneCellAnchor>
    <xdr:from>
      <xdr:col>35</xdr:col>
      <xdr:colOff>323850</xdr:colOff>
      <xdr:row>12</xdr:row>
      <xdr:rowOff>95250</xdr:rowOff>
    </xdr:from>
    <xdr:ext cx="902106" cy="374141"/>
    <xdr:sp macro="" textlink="">
      <xdr:nvSpPr>
        <xdr:cNvPr id="10" name="Rectangle 9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/>
      </xdr:nvSpPr>
      <xdr:spPr>
        <a:xfrm>
          <a:off x="28641675" y="2552700"/>
          <a:ext cx="902106" cy="3741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8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Kasus 6</a:t>
          </a:r>
        </a:p>
      </xdr:txBody>
    </xdr:sp>
    <xdr:clientData/>
  </xdr:oneCellAnchor>
  <xdr:oneCellAnchor>
    <xdr:from>
      <xdr:col>43</xdr:col>
      <xdr:colOff>304800</xdr:colOff>
      <xdr:row>1</xdr:row>
      <xdr:rowOff>171450</xdr:rowOff>
    </xdr:from>
    <xdr:ext cx="902106" cy="374141"/>
    <xdr:sp macro="" textlink="">
      <xdr:nvSpPr>
        <xdr:cNvPr id="11" name="Rectangle 10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/>
      </xdr:nvSpPr>
      <xdr:spPr>
        <a:xfrm>
          <a:off x="33680400" y="419100"/>
          <a:ext cx="902106" cy="3741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8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Kasus 7</a:t>
          </a:r>
        </a:p>
      </xdr:txBody>
    </xdr:sp>
    <xdr:clientData/>
  </xdr:oneCellAnchor>
  <xdr:oneCellAnchor>
    <xdr:from>
      <xdr:col>43</xdr:col>
      <xdr:colOff>304800</xdr:colOff>
      <xdr:row>12</xdr:row>
      <xdr:rowOff>76200</xdr:rowOff>
    </xdr:from>
    <xdr:ext cx="902106" cy="374141"/>
    <xdr:sp macro="" textlink="">
      <xdr:nvSpPr>
        <xdr:cNvPr id="12" name="Rectangle 11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/>
      </xdr:nvSpPr>
      <xdr:spPr>
        <a:xfrm>
          <a:off x="33680400" y="2533650"/>
          <a:ext cx="902106" cy="3741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8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Kasus 8</a:t>
          </a:r>
        </a:p>
      </xdr:txBody>
    </xdr:sp>
    <xdr:clientData/>
  </xdr:oneCellAnchor>
  <xdr:oneCellAnchor>
    <xdr:from>
      <xdr:col>51</xdr:col>
      <xdr:colOff>291744</xdr:colOff>
      <xdr:row>0</xdr:row>
      <xdr:rowOff>154863</xdr:rowOff>
    </xdr:from>
    <xdr:ext cx="902106" cy="374141"/>
    <xdr:sp macro="" textlink="">
      <xdr:nvSpPr>
        <xdr:cNvPr id="13" name="Rectangle 12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/>
      </xdr:nvSpPr>
      <xdr:spPr>
        <a:xfrm>
          <a:off x="38715594" y="154863"/>
          <a:ext cx="902106" cy="3741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8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Kasus 9</a:t>
          </a:r>
        </a:p>
      </xdr:txBody>
    </xdr:sp>
    <xdr:clientData/>
  </xdr:oneCellAnchor>
  <xdr:twoCellAnchor>
    <xdr:from>
      <xdr:col>52</xdr:col>
      <xdr:colOff>0</xdr:colOff>
      <xdr:row>14</xdr:row>
      <xdr:rowOff>123825</xdr:rowOff>
    </xdr:from>
    <xdr:to>
      <xdr:col>59</xdr:col>
      <xdr:colOff>381001</xdr:colOff>
      <xdr:row>28</xdr:row>
      <xdr:rowOff>0</xdr:rowOff>
    </xdr:to>
    <xdr:graphicFrame macro="">
      <xdr:nvGraphicFramePr>
        <xdr:cNvPr id="14" name="Chart 13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2</xdr:row>
          <xdr:rowOff>19050</xdr:rowOff>
        </xdr:from>
        <xdr:to>
          <xdr:col>3</xdr:col>
          <xdr:colOff>714375</xdr:colOff>
          <xdr:row>2</xdr:row>
          <xdr:rowOff>180975</xdr:rowOff>
        </xdr:to>
        <xdr:sp macro="" textlink="">
          <xdr:nvSpPr>
            <xdr:cNvPr id="3075" name="Scroll Bar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="" xmlns:a16="http://schemas.microsoft.com/office/drawing/2014/main" id="{00000000-0008-0000-0000-00005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oneCellAnchor>
    <xdr:from>
      <xdr:col>16</xdr:col>
      <xdr:colOff>542925</xdr:colOff>
      <xdr:row>1</xdr:row>
      <xdr:rowOff>142875</xdr:rowOff>
    </xdr:from>
    <xdr:ext cx="902106" cy="374141"/>
    <xdr:sp macro="" textlink="">
      <xdr:nvSpPr>
        <xdr:cNvPr id="16" name="Rectangle 15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/>
      </xdr:nvSpPr>
      <xdr:spPr>
        <a:xfrm>
          <a:off x="18202275" y="390525"/>
          <a:ext cx="902106" cy="3741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8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Kasus 2</a:t>
          </a:r>
        </a:p>
      </xdr:txBody>
    </xdr:sp>
    <xdr:clientData/>
  </xdr:oneCellAnchor>
  <xdr:twoCellAnchor>
    <xdr:from>
      <xdr:col>11</xdr:col>
      <xdr:colOff>14287</xdr:colOff>
      <xdr:row>12</xdr:row>
      <xdr:rowOff>0</xdr:rowOff>
    </xdr:from>
    <xdr:to>
      <xdr:col>17</xdr:col>
      <xdr:colOff>581025</xdr:colOff>
      <xdr:row>26</xdr:row>
      <xdr:rowOff>57150</xdr:rowOff>
    </xdr:to>
    <xdr:graphicFrame macro="">
      <xdr:nvGraphicFramePr>
        <xdr:cNvPr id="17" name="Chart 16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390524</xdr:colOff>
      <xdr:row>2</xdr:row>
      <xdr:rowOff>9525</xdr:rowOff>
    </xdr:from>
    <xdr:to>
      <xdr:col>9</xdr:col>
      <xdr:colOff>7286624</xdr:colOff>
      <xdr:row>25</xdr:row>
      <xdr:rowOff>19050</xdr:rowOff>
    </xdr:to>
    <xdr:graphicFrame macro="">
      <xdr:nvGraphicFramePr>
        <xdr:cNvPr id="18" name="Chart 17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419100</xdr:colOff>
      <xdr:row>7</xdr:row>
      <xdr:rowOff>76200</xdr:rowOff>
    </xdr:from>
    <xdr:to>
      <xdr:col>12</xdr:col>
      <xdr:colOff>219075</xdr:colOff>
      <xdr:row>8</xdr:row>
      <xdr:rowOff>152400</xdr:rowOff>
    </xdr:to>
    <xdr:sp macro="" textlink="">
      <xdr:nvSpPr>
        <xdr:cNvPr id="19" name="Arrow: Up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/>
      </xdr:nvSpPr>
      <xdr:spPr>
        <a:xfrm>
          <a:off x="14897100" y="1581150"/>
          <a:ext cx="409575" cy="266700"/>
        </a:xfrm>
        <a:prstGeom prst="upArrow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22</xdr:col>
      <xdr:colOff>123825</xdr:colOff>
      <xdr:row>21</xdr:row>
      <xdr:rowOff>95250</xdr:rowOff>
    </xdr:from>
    <xdr:to>
      <xdr:col>23</xdr:col>
      <xdr:colOff>114300</xdr:colOff>
      <xdr:row>22</xdr:row>
      <xdr:rowOff>171450</xdr:rowOff>
    </xdr:to>
    <xdr:sp macro="" textlink="">
      <xdr:nvSpPr>
        <xdr:cNvPr id="20" name="Arrow: Up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/>
      </xdr:nvSpPr>
      <xdr:spPr>
        <a:xfrm>
          <a:off x="21145500" y="4305300"/>
          <a:ext cx="409575" cy="266700"/>
        </a:xfrm>
        <a:prstGeom prst="upArrow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D27"/>
  <sheetViews>
    <sheetView showGridLines="0" tabSelected="1" zoomScaleNormal="100" workbookViewId="0">
      <selection activeCell="E3" sqref="E3"/>
    </sheetView>
  </sheetViews>
  <sheetFormatPr defaultRowHeight="15" x14ac:dyDescent="0.25"/>
  <cols>
    <col min="1" max="2" width="5.85546875" style="1" customWidth="1"/>
    <col min="3" max="3" width="19.28515625" style="1" customWidth="1"/>
    <col min="4" max="4" width="12.28515625" style="1" customWidth="1"/>
    <col min="5" max="5" width="13.85546875" style="1" customWidth="1"/>
    <col min="6" max="6" width="11.5703125" style="1" customWidth="1"/>
    <col min="7" max="7" width="13.85546875" style="1" customWidth="1"/>
    <col min="8" max="8" width="13.5703125" style="1" customWidth="1"/>
    <col min="9" max="9" width="5.85546875" style="1" customWidth="1"/>
    <col min="10" max="10" width="109.28515625" style="1" customWidth="1"/>
    <col min="11" max="11" width="5.85546875" style="1" customWidth="1"/>
    <col min="12" max="12" width="9.140625" style="1"/>
    <col min="13" max="13" width="10.140625" style="1" customWidth="1"/>
    <col min="14" max="14" width="6" style="1" customWidth="1"/>
    <col min="15" max="15" width="9.5703125" style="1" customWidth="1"/>
    <col min="16" max="16" width="12.85546875" style="1" customWidth="1"/>
    <col min="17" max="17" width="11.28515625" style="1" customWidth="1"/>
    <col min="18" max="18" width="8.85546875" style="1" customWidth="1"/>
    <col min="19" max="19" width="4.85546875" style="1" customWidth="1"/>
    <col min="20" max="20" width="7.140625" style="1" customWidth="1"/>
    <col min="21" max="21" width="12" style="1" customWidth="1"/>
    <col min="22" max="27" width="6.28515625" style="1" customWidth="1"/>
    <col min="28" max="28" width="5.85546875" style="1" customWidth="1"/>
    <col min="29" max="29" width="8.5703125" style="1" customWidth="1"/>
    <col min="30" max="30" width="11" style="1" customWidth="1"/>
    <col min="31" max="31" width="10.85546875" style="1" customWidth="1"/>
    <col min="32" max="32" width="10.7109375" style="1" customWidth="1"/>
    <col min="33" max="33" width="10.85546875" style="1" customWidth="1"/>
    <col min="34" max="34" width="9.85546875" style="1" customWidth="1"/>
    <col min="35" max="35" width="10.28515625" style="1" customWidth="1"/>
    <col min="36" max="36" width="5.85546875" style="1" customWidth="1"/>
    <col min="37" max="37" width="8.5703125" style="1" customWidth="1"/>
    <col min="38" max="38" width="11.5703125" style="1" customWidth="1"/>
    <col min="39" max="39" width="10.85546875" style="1" customWidth="1"/>
    <col min="40" max="41" width="9.140625" style="1"/>
    <col min="42" max="42" width="10.85546875" style="1" customWidth="1"/>
    <col min="43" max="43" width="9.85546875" style="1" customWidth="1"/>
    <col min="44" max="44" width="5.85546875" style="1" customWidth="1"/>
    <col min="45" max="45" width="8.5703125" style="1" customWidth="1"/>
    <col min="46" max="46" width="11.5703125" style="1" customWidth="1"/>
    <col min="47" max="47" width="10.85546875" style="1" customWidth="1"/>
    <col min="48" max="49" width="9.140625" style="1"/>
    <col min="50" max="50" width="10.85546875" style="1" customWidth="1"/>
    <col min="51" max="51" width="9.7109375" style="1" customWidth="1"/>
    <col min="52" max="53" width="5.85546875" style="1" customWidth="1"/>
    <col min="54" max="54" width="11.140625" style="1" customWidth="1"/>
    <col min="55" max="55" width="11.7109375" style="1" customWidth="1"/>
    <col min="56" max="56" width="9.140625" style="1"/>
    <col min="57" max="57" width="4.85546875" style="1" customWidth="1"/>
    <col min="58" max="58" width="9.140625" style="1"/>
    <col min="59" max="59" width="11.85546875" style="1" customWidth="1"/>
    <col min="60" max="61" width="5.85546875" style="1" customWidth="1"/>
    <col min="62" max="62" width="6.5703125" style="1" customWidth="1"/>
    <col min="63" max="63" width="11.5703125" style="1" customWidth="1"/>
    <col min="64" max="64" width="11.140625" style="1" customWidth="1"/>
    <col min="65" max="66" width="9.140625" style="1"/>
    <col min="67" max="67" width="10.5703125" style="1" customWidth="1"/>
    <col min="68" max="68" width="10.140625" style="1" customWidth="1"/>
    <col min="69" max="69" width="5.85546875" style="1" customWidth="1"/>
    <col min="70" max="71" width="9.140625" style="1"/>
    <col min="72" max="72" width="4.42578125" style="1" customWidth="1"/>
    <col min="73" max="73" width="9.140625" style="1"/>
    <col min="74" max="74" width="11.140625" style="1" customWidth="1"/>
    <col min="75" max="82" width="9.140625" style="1"/>
    <col min="83" max="83" width="5.85546875" style="1" customWidth="1"/>
    <col min="84" max="16384" width="9.140625" style="1"/>
  </cols>
  <sheetData>
    <row r="1" spans="1:82" ht="19.5" customHeight="1" x14ac:dyDescent="0.25"/>
    <row r="2" spans="1:82" ht="18.75" x14ac:dyDescent="0.25">
      <c r="B2" s="2" t="s">
        <v>54</v>
      </c>
      <c r="L2" s="2" t="s">
        <v>8</v>
      </c>
    </row>
    <row r="3" spans="1:82" ht="17.25" customHeight="1" thickBot="1" x14ac:dyDescent="0.3">
      <c r="A3" s="122">
        <v>400</v>
      </c>
      <c r="B3" s="91" t="s">
        <v>46</v>
      </c>
      <c r="C3" s="92"/>
      <c r="D3" s="92"/>
      <c r="E3" s="121">
        <f>A3/10000</f>
        <v>0.04</v>
      </c>
      <c r="F3" s="41"/>
      <c r="G3" s="41"/>
      <c r="H3" s="41"/>
      <c r="L3" s="9" t="s">
        <v>11</v>
      </c>
      <c r="M3" s="135" t="s">
        <v>1</v>
      </c>
      <c r="O3" s="38" t="s">
        <v>2</v>
      </c>
      <c r="BA3" s="168" t="s">
        <v>24</v>
      </c>
      <c r="BB3" s="168"/>
      <c r="BC3" s="169"/>
      <c r="BD3" s="152">
        <v>8</v>
      </c>
      <c r="BJ3" s="38" t="str">
        <f>"PERHITUNGAN "&amp;UPPER(BA3)</f>
        <v>PERHITUNGAN KURSI DAERAH PEMILIHAN  XX</v>
      </c>
    </row>
    <row r="4" spans="1:82" ht="16.5" customHeight="1" x14ac:dyDescent="0.25">
      <c r="B4" s="99" t="s">
        <v>14</v>
      </c>
      <c r="C4" s="100" t="s">
        <v>9</v>
      </c>
      <c r="D4" s="100" t="s">
        <v>47</v>
      </c>
      <c r="E4" s="100" t="s">
        <v>48</v>
      </c>
      <c r="F4" s="100" t="s">
        <v>12</v>
      </c>
      <c r="G4" s="100" t="s">
        <v>49</v>
      </c>
      <c r="H4" s="99" t="s">
        <v>50</v>
      </c>
      <c r="I4" s="122" t="s">
        <v>55</v>
      </c>
      <c r="L4" s="136">
        <v>1</v>
      </c>
      <c r="M4" s="137">
        <v>1</v>
      </c>
      <c r="O4" s="70" t="s">
        <v>30</v>
      </c>
      <c r="P4" s="71"/>
      <c r="Q4" s="72">
        <v>6</v>
      </c>
      <c r="R4" s="74"/>
      <c r="T4" s="38" t="s">
        <v>13</v>
      </c>
      <c r="AC4" s="167">
        <v>1</v>
      </c>
      <c r="AD4" s="167"/>
      <c r="AE4" s="167"/>
      <c r="AK4" s="167">
        <v>3</v>
      </c>
      <c r="AL4" s="167"/>
      <c r="AM4" s="167"/>
      <c r="AS4" s="167">
        <f>IF($Q4&gt;AK15,AK15+1,"")</f>
        <v>5</v>
      </c>
      <c r="AT4" s="167"/>
      <c r="AU4" s="167"/>
      <c r="BA4" s="1" t="s">
        <v>23</v>
      </c>
      <c r="BF4" s="1" t="s">
        <v>13</v>
      </c>
      <c r="BJ4" s="39" t="s">
        <v>25</v>
      </c>
      <c r="BK4" s="40"/>
      <c r="BL4" s="40"/>
      <c r="BM4" s="44">
        <v>1</v>
      </c>
      <c r="BN4" s="41"/>
      <c r="BO4" s="41"/>
      <c r="BP4" s="41"/>
      <c r="BR4" s="38" t="s">
        <v>1</v>
      </c>
      <c r="BU4" s="38" t="s">
        <v>13</v>
      </c>
    </row>
    <row r="5" spans="1:82" ht="15.75" thickBot="1" x14ac:dyDescent="0.3">
      <c r="B5" s="103">
        <v>1</v>
      </c>
      <c r="C5" s="104" t="s">
        <v>31</v>
      </c>
      <c r="D5" s="105">
        <v>4032568</v>
      </c>
      <c r="E5" s="106">
        <f>D5/D$20</f>
        <v>3.2110893620708604E-2</v>
      </c>
      <c r="F5" s="107">
        <f>RANK(D5,D$5:D$19,0)</f>
        <v>8</v>
      </c>
      <c r="G5" s="104" t="str">
        <f>IF(E5&gt;=E$3,"Lolos","Tidak Lolos")</f>
        <v>Tidak Lolos</v>
      </c>
      <c r="H5" s="108" t="str">
        <f>IF(E5&lt;E$3,"Tidak ada","Ada")</f>
        <v>Tidak ada</v>
      </c>
      <c r="I5" s="132">
        <f>E$3</f>
        <v>0.04</v>
      </c>
      <c r="L5" s="138">
        <v>2</v>
      </c>
      <c r="M5" s="139">
        <v>3</v>
      </c>
      <c r="O5" s="6" t="s">
        <v>16</v>
      </c>
      <c r="P5" s="75" t="s">
        <v>9</v>
      </c>
      <c r="Q5" s="73" t="s">
        <v>0</v>
      </c>
      <c r="R5" s="6" t="s">
        <v>17</v>
      </c>
      <c r="T5" s="9" t="s">
        <v>14</v>
      </c>
      <c r="U5" s="6" t="s">
        <v>9</v>
      </c>
      <c r="AC5" s="6" t="s">
        <v>16</v>
      </c>
      <c r="AD5" s="16" t="s">
        <v>9</v>
      </c>
      <c r="AE5" s="16" t="s">
        <v>0</v>
      </c>
      <c r="AF5" s="16" t="s">
        <v>1</v>
      </c>
      <c r="AG5" s="16" t="s">
        <v>10</v>
      </c>
      <c r="AH5" s="6" t="s">
        <v>12</v>
      </c>
      <c r="AK5" s="6" t="s">
        <v>16</v>
      </c>
      <c r="AL5" s="16" t="s">
        <v>9</v>
      </c>
      <c r="AM5" s="16" t="s">
        <v>0</v>
      </c>
      <c r="AN5" s="16" t="s">
        <v>11</v>
      </c>
      <c r="AO5" s="16" t="s">
        <v>1</v>
      </c>
      <c r="AP5" s="16" t="s">
        <v>10</v>
      </c>
      <c r="AQ5" s="6" t="s">
        <v>12</v>
      </c>
      <c r="AS5" s="5" t="str">
        <f t="shared" ref="AS5:AY5" si="0">IF($AS$4="","",AK16)</f>
        <v>No Urut</v>
      </c>
      <c r="AT5" s="5" t="str">
        <f t="shared" si="0"/>
        <v>Partai</v>
      </c>
      <c r="AU5" s="5" t="str">
        <f t="shared" si="0"/>
        <v>Suara</v>
      </c>
      <c r="AV5" s="5" t="str">
        <f t="shared" si="0"/>
        <v>Kursi ke-</v>
      </c>
      <c r="AW5" s="5" t="str">
        <f t="shared" si="0"/>
        <v>Pembagi</v>
      </c>
      <c r="AX5" s="5" t="str">
        <f t="shared" si="0"/>
        <v>Hasil</v>
      </c>
      <c r="AY5" s="5" t="str">
        <f t="shared" si="0"/>
        <v>Peringkat</v>
      </c>
      <c r="BA5" s="25" t="s">
        <v>14</v>
      </c>
      <c r="BB5" s="28" t="s">
        <v>9</v>
      </c>
      <c r="BC5" s="28" t="s">
        <v>0</v>
      </c>
      <c r="BD5" s="25" t="s">
        <v>17</v>
      </c>
      <c r="BF5" s="33" t="s">
        <v>14</v>
      </c>
      <c r="BG5" s="34" t="s">
        <v>9</v>
      </c>
      <c r="BJ5" s="25" t="str">
        <f t="shared" ref="BJ5:BJ13" si="1">IF($AS$4="","",BA5)</f>
        <v>No</v>
      </c>
      <c r="BK5" s="42" t="s">
        <v>9</v>
      </c>
      <c r="BL5" s="42" t="s">
        <v>0</v>
      </c>
      <c r="BM5" s="42" t="s">
        <v>11</v>
      </c>
      <c r="BN5" s="42" t="s">
        <v>1</v>
      </c>
      <c r="BO5" s="42" t="s">
        <v>10</v>
      </c>
      <c r="BP5" s="25" t="s">
        <v>12</v>
      </c>
      <c r="BR5" s="51" t="s">
        <v>11</v>
      </c>
      <c r="BS5" s="50" t="s">
        <v>1</v>
      </c>
      <c r="BU5" s="25"/>
      <c r="BV5" s="28"/>
      <c r="BW5" s="155" t="s">
        <v>19</v>
      </c>
      <c r="BX5" s="156"/>
      <c r="BY5" s="156"/>
      <c r="BZ5" s="156"/>
      <c r="CA5" s="156"/>
      <c r="CB5" s="156"/>
      <c r="CC5" s="156"/>
      <c r="CD5" s="156"/>
    </row>
    <row r="6" spans="1:82" x14ac:dyDescent="0.25">
      <c r="B6" s="109">
        <v>2</v>
      </c>
      <c r="C6" s="95" t="s">
        <v>32</v>
      </c>
      <c r="D6" s="96">
        <v>9574981</v>
      </c>
      <c r="E6" s="97">
        <f t="shared" ref="E6:E19" si="2">D6/D$20</f>
        <v>7.6244516226708664E-2</v>
      </c>
      <c r="F6" s="98">
        <f t="shared" ref="F6:F19" si="3">RANK(D6,D$5:D$19,0)</f>
        <v>4</v>
      </c>
      <c r="G6" s="95" t="str">
        <f t="shared" ref="G6:G19" si="4">IF(E6&gt;=E$3,"Lolos","Tidak Lolos")</f>
        <v>Lolos</v>
      </c>
      <c r="H6" s="110" t="str">
        <f t="shared" ref="H6:H19" si="5">IF(E6&lt;E$3,"Tidak ada","Ada")</f>
        <v>Ada</v>
      </c>
      <c r="I6" s="132">
        <f t="shared" ref="I6:I19" si="6">E$3</f>
        <v>0.04</v>
      </c>
      <c r="L6" s="138">
        <v>3</v>
      </c>
      <c r="M6" s="139">
        <v>5</v>
      </c>
      <c r="O6" s="79">
        <v>1</v>
      </c>
      <c r="P6" s="80" t="s">
        <v>3</v>
      </c>
      <c r="Q6" s="81">
        <v>548221</v>
      </c>
      <c r="R6" s="86">
        <f ca="1">COUNTIF(U$6:U$11,P6)</f>
        <v>1</v>
      </c>
      <c r="T6" s="5">
        <v>1</v>
      </c>
      <c r="U6" s="3" t="str">
        <f ca="1">AH11</f>
        <v>Parpol B</v>
      </c>
      <c r="AC6" s="15">
        <v>1</v>
      </c>
      <c r="AD6" s="13" t="str">
        <f t="shared" ref="AD6:AE10" si="7">P6</f>
        <v>Parpol A</v>
      </c>
      <c r="AE6" s="14">
        <f t="shared" si="7"/>
        <v>548221</v>
      </c>
      <c r="AF6" s="18">
        <f>IF(AC6="","",VLOOKUP(AC6,Kursi,AC$4+2))</f>
        <v>1</v>
      </c>
      <c r="AG6" s="14">
        <f>AE6/AF6</f>
        <v>548221</v>
      </c>
      <c r="AH6" s="18">
        <f>RANK(AG6,AG$6:AG$10,0)</f>
        <v>3</v>
      </c>
      <c r="AK6" s="15">
        <v>1</v>
      </c>
      <c r="AL6" s="13" t="str">
        <f t="shared" ref="AL6:AM10" si="8">AD17</f>
        <v>Parpol A</v>
      </c>
      <c r="AM6" s="14">
        <f t="shared" si="8"/>
        <v>548221</v>
      </c>
      <c r="AN6" s="18">
        <f ca="1">IF(AK4="","",VLOOKUP(AK6,Kursi,AK$4+2))</f>
        <v>1</v>
      </c>
      <c r="AO6" s="18">
        <f ca="1">VLOOKUP(AN6,Bagi,2)</f>
        <v>1</v>
      </c>
      <c r="AP6" s="14">
        <f t="shared" ref="AP6:AP10" ca="1" si="9">AM6/AO6</f>
        <v>548221</v>
      </c>
      <c r="AQ6" s="18">
        <f t="shared" ref="AQ6:AQ10" ca="1" si="10">RANK(AP6,AP$6:AP$10,0)</f>
        <v>1</v>
      </c>
      <c r="AS6" s="5">
        <f t="shared" ref="AS6:AU10" si="11">IF($AS$4="","",AK17)</f>
        <v>1</v>
      </c>
      <c r="AT6" s="3" t="str">
        <f t="shared" si="11"/>
        <v>Parpol A</v>
      </c>
      <c r="AU6" s="4">
        <f t="shared" si="11"/>
        <v>548221</v>
      </c>
      <c r="AV6" s="17">
        <f ca="1">IF(AS4="","",VLOOKUP(AS6,Kursi,AS$4+2))</f>
        <v>2</v>
      </c>
      <c r="AW6" s="17">
        <f ca="1">IF(AS4="","",VLOOKUP(AV6,Bagi,2))</f>
        <v>3</v>
      </c>
      <c r="AX6" s="4">
        <f ca="1">IF(AW6="","",AU6/AW6)</f>
        <v>182740.33333333334</v>
      </c>
      <c r="AY6" s="17">
        <f ca="1">IF(AW6="","",RANK(AX6,AX$6:AX$10,0))</f>
        <v>4</v>
      </c>
      <c r="BA6" s="26">
        <v>1</v>
      </c>
      <c r="BB6" s="29" t="s">
        <v>3</v>
      </c>
      <c r="BC6" s="31">
        <v>471582</v>
      </c>
      <c r="BD6" s="37">
        <f t="shared" ref="BD6:BD13" si="12">COUNTIF(BG$6:BG$13,BB6)</f>
        <v>1</v>
      </c>
      <c r="BF6" s="5">
        <v>1</v>
      </c>
      <c r="BG6" s="3" t="s">
        <v>22</v>
      </c>
      <c r="BJ6" s="45">
        <f t="shared" si="1"/>
        <v>1</v>
      </c>
      <c r="BK6" s="46" t="str">
        <f>BB6</f>
        <v>Parpol A</v>
      </c>
      <c r="BL6" s="47">
        <f>BC6</f>
        <v>471582</v>
      </c>
      <c r="BM6" s="48">
        <f t="shared" ref="BM6:BM13" si="13">VLOOKUP(BJ6,Kursi2,BM$4+2)</f>
        <v>1</v>
      </c>
      <c r="BN6" s="48">
        <f t="shared" ref="BN6:BN13" si="14">VLOOKUP(BM6,Bagi2,2)</f>
        <v>1</v>
      </c>
      <c r="BO6" s="47">
        <f>BL6/BN6</f>
        <v>471582</v>
      </c>
      <c r="BP6" s="49">
        <f>RANK(BO6,BO$6:BO$19,0)</f>
        <v>3</v>
      </c>
      <c r="BR6" s="55">
        <v>1</v>
      </c>
      <c r="BS6" s="52">
        <v>1</v>
      </c>
      <c r="BU6" s="25" t="s">
        <v>16</v>
      </c>
      <c r="BV6" s="28" t="s">
        <v>9</v>
      </c>
      <c r="BW6" s="35">
        <v>1</v>
      </c>
      <c r="BX6" s="35">
        <v>2</v>
      </c>
      <c r="BY6" s="35">
        <v>3</v>
      </c>
      <c r="BZ6" s="35">
        <v>4</v>
      </c>
      <c r="CA6" s="35">
        <v>5</v>
      </c>
      <c r="CB6" s="35">
        <v>6</v>
      </c>
      <c r="CC6" s="35">
        <v>7</v>
      </c>
      <c r="CD6" s="36">
        <v>8</v>
      </c>
    </row>
    <row r="7" spans="1:82" ht="15.75" thickBot="1" x14ac:dyDescent="0.3">
      <c r="B7" s="109">
        <v>3</v>
      </c>
      <c r="C7" s="95" t="s">
        <v>33</v>
      </c>
      <c r="D7" s="96">
        <v>8754911</v>
      </c>
      <c r="E7" s="97">
        <f t="shared" si="2"/>
        <v>6.9714389386557538E-2</v>
      </c>
      <c r="F7" s="98">
        <f t="shared" si="3"/>
        <v>5</v>
      </c>
      <c r="G7" s="95" t="str">
        <f t="shared" si="4"/>
        <v>Lolos</v>
      </c>
      <c r="H7" s="110" t="str">
        <f t="shared" si="5"/>
        <v>Ada</v>
      </c>
      <c r="I7" s="132">
        <f t="shared" si="6"/>
        <v>0.04</v>
      </c>
      <c r="L7" s="140">
        <v>4</v>
      </c>
      <c r="M7" s="141">
        <v>7</v>
      </c>
      <c r="O7" s="82">
        <v>2</v>
      </c>
      <c r="P7" s="76" t="s">
        <v>4</v>
      </c>
      <c r="Q7" s="77">
        <v>918101</v>
      </c>
      <c r="R7" s="87">
        <f t="shared" ref="R7:R10" ca="1" si="15">COUNTIF(U$6:U$11,P7)</f>
        <v>2</v>
      </c>
      <c r="T7" s="5">
        <v>2</v>
      </c>
      <c r="U7" s="3" t="str">
        <f ca="1">AI22</f>
        <v>Parpol C</v>
      </c>
      <c r="AC7" s="15">
        <v>2</v>
      </c>
      <c r="AD7" s="13" t="str">
        <f t="shared" si="7"/>
        <v>Parpol B</v>
      </c>
      <c r="AE7" s="14">
        <f t="shared" si="7"/>
        <v>918101</v>
      </c>
      <c r="AF7" s="18">
        <f>IF(AC7="","",VLOOKUP(AC7,Kursi,AC$4+2))</f>
        <v>1</v>
      </c>
      <c r="AG7" s="14">
        <f t="shared" ref="AG7:AG10" si="16">AE7/AF7</f>
        <v>918101</v>
      </c>
      <c r="AH7" s="18">
        <f>RANK(AG7,AG$6:AG$10,0)</f>
        <v>1</v>
      </c>
      <c r="AK7" s="15">
        <v>2</v>
      </c>
      <c r="AL7" s="13" t="str">
        <f t="shared" si="8"/>
        <v>Parpol B</v>
      </c>
      <c r="AM7" s="14">
        <f t="shared" si="8"/>
        <v>918101</v>
      </c>
      <c r="AN7" s="18">
        <f ca="1">IF(AK5="","",VLOOKUP(AK7,Kursi,AK$4+2))</f>
        <v>2</v>
      </c>
      <c r="AO7" s="18">
        <f ca="1">VLOOKUP(AN7,Bagi,2)</f>
        <v>3</v>
      </c>
      <c r="AP7" s="14">
        <f t="shared" ca="1" si="9"/>
        <v>306033.66666666669</v>
      </c>
      <c r="AQ7" s="18">
        <f t="shared" ca="1" si="10"/>
        <v>3</v>
      </c>
      <c r="AS7" s="5">
        <f t="shared" si="11"/>
        <v>2</v>
      </c>
      <c r="AT7" s="3" t="str">
        <f t="shared" si="11"/>
        <v>Parpol B</v>
      </c>
      <c r="AU7" s="4">
        <f t="shared" si="11"/>
        <v>918101</v>
      </c>
      <c r="AV7" s="17">
        <f ca="1">IF(AS5="","",VLOOKUP(AS7,Kursi,AS$4+2))</f>
        <v>2</v>
      </c>
      <c r="AW7" s="17">
        <f ca="1">IF(AT5="","",VLOOKUP(AV7,Bagi,2))</f>
        <v>3</v>
      </c>
      <c r="AX7" s="4">
        <f t="shared" ref="AX7:AX10" ca="1" si="17">IF(AW7="","",AU7/AW7)</f>
        <v>306033.66666666669</v>
      </c>
      <c r="AY7" s="17">
        <f t="shared" ref="AY7:AY10" ca="1" si="18">IF(AW7="","",RANK(AX7,AX$6:AX$10,0))</f>
        <v>1</v>
      </c>
      <c r="BA7" s="26">
        <v>2</v>
      </c>
      <c r="BB7" s="30" t="s">
        <v>4</v>
      </c>
      <c r="BC7" s="31">
        <v>987542</v>
      </c>
      <c r="BD7" s="37">
        <f t="shared" si="12"/>
        <v>2</v>
      </c>
      <c r="BF7" s="5">
        <v>2</v>
      </c>
      <c r="BG7" s="3" t="s">
        <v>4</v>
      </c>
      <c r="BJ7" s="45">
        <f t="shared" si="1"/>
        <v>2</v>
      </c>
      <c r="BK7" s="46" t="str">
        <f t="shared" ref="BK7:BK13" si="19">BB7</f>
        <v>Parpol B</v>
      </c>
      <c r="BL7" s="47">
        <f t="shared" ref="BL7:BL13" si="20">BC7</f>
        <v>987542</v>
      </c>
      <c r="BM7" s="48">
        <f t="shared" si="13"/>
        <v>1</v>
      </c>
      <c r="BN7" s="48">
        <f t="shared" si="14"/>
        <v>1</v>
      </c>
      <c r="BO7" s="47">
        <f t="shared" ref="BO7:BO13" si="21">BL7/BN7</f>
        <v>987542</v>
      </c>
      <c r="BP7" s="49">
        <f t="shared" ref="BP7:BP13" si="22">RANK(BO7,BO$6:BO$19,0)</f>
        <v>2</v>
      </c>
      <c r="BR7" s="56">
        <v>2</v>
      </c>
      <c r="BS7" s="53">
        <v>3</v>
      </c>
      <c r="BU7" s="25"/>
      <c r="BV7" s="28"/>
      <c r="BW7" s="157" t="s">
        <v>15</v>
      </c>
      <c r="BX7" s="158"/>
      <c r="BY7" s="158"/>
      <c r="BZ7" s="158"/>
      <c r="CA7" s="158"/>
      <c r="CB7" s="158"/>
      <c r="CC7" s="158"/>
      <c r="CD7" s="158"/>
    </row>
    <row r="8" spans="1:82" x14ac:dyDescent="0.25">
      <c r="B8" s="109">
        <v>4</v>
      </c>
      <c r="C8" s="95" t="s">
        <v>34</v>
      </c>
      <c r="D8" s="96">
        <v>6241578</v>
      </c>
      <c r="E8" s="97">
        <f t="shared" si="2"/>
        <v>4.9700996284093697E-2</v>
      </c>
      <c r="F8" s="98">
        <f t="shared" si="3"/>
        <v>7</v>
      </c>
      <c r="G8" s="95" t="str">
        <f t="shared" si="4"/>
        <v>Lolos</v>
      </c>
      <c r="H8" s="110" t="str">
        <f t="shared" si="5"/>
        <v>Ada</v>
      </c>
      <c r="I8" s="132">
        <f t="shared" si="6"/>
        <v>0.04</v>
      </c>
      <c r="O8" s="82">
        <v>3</v>
      </c>
      <c r="P8" s="76" t="s">
        <v>5</v>
      </c>
      <c r="Q8" s="77">
        <v>687251</v>
      </c>
      <c r="R8" s="87">
        <f t="shared" ca="1" si="15"/>
        <v>1</v>
      </c>
      <c r="T8" s="5">
        <v>3</v>
      </c>
      <c r="U8" s="3" t="str">
        <f ca="1">AQ11</f>
        <v>Parpol A</v>
      </c>
      <c r="AC8" s="15">
        <v>3</v>
      </c>
      <c r="AD8" s="13" t="str">
        <f t="shared" si="7"/>
        <v>Parpol C</v>
      </c>
      <c r="AE8" s="14">
        <f t="shared" si="7"/>
        <v>687251</v>
      </c>
      <c r="AF8" s="18">
        <f>IF(AC8="","",VLOOKUP(AC8,Kursi,AC$4+2))</f>
        <v>1</v>
      </c>
      <c r="AG8" s="14">
        <f t="shared" si="16"/>
        <v>687251</v>
      </c>
      <c r="AH8" s="18">
        <f>RANK(AG8,AG$6:AG$10,0)</f>
        <v>2</v>
      </c>
      <c r="AK8" s="15">
        <v>3</v>
      </c>
      <c r="AL8" s="13" t="str">
        <f t="shared" si="8"/>
        <v>Parpol C</v>
      </c>
      <c r="AM8" s="14">
        <f t="shared" si="8"/>
        <v>687251</v>
      </c>
      <c r="AN8" s="18">
        <f ca="1">IF(AK6="","",VLOOKUP(AK8,Kursi,AK$4+2))</f>
        <v>2</v>
      </c>
      <c r="AO8" s="18">
        <f ca="1">VLOOKUP(AN8,Bagi,2)</f>
        <v>3</v>
      </c>
      <c r="AP8" s="14">
        <f t="shared" ca="1" si="9"/>
        <v>229083.66666666666</v>
      </c>
      <c r="AQ8" s="18">
        <f t="shared" ca="1" si="10"/>
        <v>5</v>
      </c>
      <c r="AS8" s="5">
        <f t="shared" si="11"/>
        <v>3</v>
      </c>
      <c r="AT8" s="3" t="str">
        <f t="shared" si="11"/>
        <v>Parpol C</v>
      </c>
      <c r="AU8" s="4">
        <f t="shared" si="11"/>
        <v>687251</v>
      </c>
      <c r="AV8" s="17">
        <f ca="1">IF(AS6="","",VLOOKUP(AS8,Kursi,AS$4+2))</f>
        <v>2</v>
      </c>
      <c r="AW8" s="17">
        <f ca="1">IF(AT6="","",VLOOKUP(AV8,Bagi,2))</f>
        <v>3</v>
      </c>
      <c r="AX8" s="4">
        <f t="shared" ca="1" si="17"/>
        <v>229083.66666666666</v>
      </c>
      <c r="AY8" s="17">
        <f t="shared" ca="1" si="18"/>
        <v>3</v>
      </c>
      <c r="BA8" s="26">
        <v>3</v>
      </c>
      <c r="BB8" s="29" t="s">
        <v>5</v>
      </c>
      <c r="BC8" s="31">
        <v>298774</v>
      </c>
      <c r="BD8" s="37">
        <f t="shared" si="12"/>
        <v>1</v>
      </c>
      <c r="BF8" s="5">
        <v>3</v>
      </c>
      <c r="BG8" s="3" t="s">
        <v>3</v>
      </c>
      <c r="BJ8" s="45">
        <f t="shared" si="1"/>
        <v>3</v>
      </c>
      <c r="BK8" s="46" t="str">
        <f t="shared" si="19"/>
        <v>Parpol C</v>
      </c>
      <c r="BL8" s="47">
        <f t="shared" si="20"/>
        <v>298774</v>
      </c>
      <c r="BM8" s="48">
        <f t="shared" si="13"/>
        <v>1</v>
      </c>
      <c r="BN8" s="48">
        <f t="shared" si="14"/>
        <v>1</v>
      </c>
      <c r="BO8" s="47">
        <f t="shared" si="21"/>
        <v>298774</v>
      </c>
      <c r="BP8" s="49">
        <f t="shared" si="22"/>
        <v>6</v>
      </c>
      <c r="BR8" s="56">
        <v>3</v>
      </c>
      <c r="BS8" s="53">
        <v>5</v>
      </c>
      <c r="BU8" s="58">
        <v>1</v>
      </c>
      <c r="BV8" s="59" t="str">
        <f>BK6</f>
        <v>Parpol A</v>
      </c>
      <c r="BW8" s="60">
        <v>1</v>
      </c>
      <c r="BX8" s="60">
        <f>COUNTIF(BG$6:BG$6,BV8)+1</f>
        <v>1</v>
      </c>
      <c r="BY8" s="60">
        <f>COUNTIF(BG$6:BG$7,BV8)+1</f>
        <v>1</v>
      </c>
      <c r="BZ8" s="60">
        <f>COUNTIF(BG$6:BG$8,BV8)+1</f>
        <v>2</v>
      </c>
      <c r="CA8" s="60">
        <f>COUNTIF(BG$6:BG$9,BV8)+1</f>
        <v>2</v>
      </c>
      <c r="CB8" s="60">
        <f>COUNTIF(BG$6:BG$10,BV8)+1</f>
        <v>2</v>
      </c>
      <c r="CC8" s="60">
        <f>COUNTIF(BG$6:BG$11,BV8)+1</f>
        <v>2</v>
      </c>
      <c r="CD8" s="61">
        <f>COUNTIF(BG$6:BG$12,BV8)+1</f>
        <v>2</v>
      </c>
    </row>
    <row r="9" spans="1:82" x14ac:dyDescent="0.25">
      <c r="B9" s="109">
        <v>5</v>
      </c>
      <c r="C9" s="95" t="s">
        <v>35</v>
      </c>
      <c r="D9" s="96">
        <v>2987541</v>
      </c>
      <c r="E9" s="97">
        <f t="shared" si="2"/>
        <v>2.3789459034170138E-2</v>
      </c>
      <c r="F9" s="98">
        <f t="shared" si="3"/>
        <v>11</v>
      </c>
      <c r="G9" s="95" t="str">
        <f t="shared" si="4"/>
        <v>Tidak Lolos</v>
      </c>
      <c r="H9" s="110" t="str">
        <f t="shared" si="5"/>
        <v>Tidak ada</v>
      </c>
      <c r="I9" s="132">
        <f t="shared" si="6"/>
        <v>0.04</v>
      </c>
      <c r="O9" s="82">
        <v>4</v>
      </c>
      <c r="P9" s="76" t="s">
        <v>6</v>
      </c>
      <c r="Q9" s="77">
        <v>261214</v>
      </c>
      <c r="R9" s="87">
        <f t="shared" ca="1" si="15"/>
        <v>1</v>
      </c>
      <c r="T9" s="5">
        <f>IF(Q$4&gt;T8,T8+1,"")</f>
        <v>4</v>
      </c>
      <c r="U9" s="3" t="str">
        <f ca="1">AQ22</f>
        <v>Parpol E</v>
      </c>
      <c r="AC9" s="15">
        <v>4</v>
      </c>
      <c r="AD9" s="13" t="str">
        <f t="shared" si="7"/>
        <v>Parpol D</v>
      </c>
      <c r="AE9" s="14">
        <f t="shared" si="7"/>
        <v>261214</v>
      </c>
      <c r="AF9" s="18">
        <f>IF(AC9="","",VLOOKUP(AC9,Kursi,AC$4+2))</f>
        <v>1</v>
      </c>
      <c r="AG9" s="14">
        <f t="shared" si="16"/>
        <v>261214</v>
      </c>
      <c r="AH9" s="18">
        <f>RANK(AG9,AG$6:AG$10,0)</f>
        <v>5</v>
      </c>
      <c r="AK9" s="15">
        <v>4</v>
      </c>
      <c r="AL9" s="13" t="str">
        <f t="shared" si="8"/>
        <v>Parpol D</v>
      </c>
      <c r="AM9" s="14">
        <f t="shared" si="8"/>
        <v>261214</v>
      </c>
      <c r="AN9" s="18">
        <f ca="1">IF(AK7="","",VLOOKUP(AK9,Kursi,AK$4+2))</f>
        <v>1</v>
      </c>
      <c r="AO9" s="18">
        <f ca="1">VLOOKUP(AN9,Bagi,2)</f>
        <v>1</v>
      </c>
      <c r="AP9" s="14">
        <f t="shared" ca="1" si="9"/>
        <v>261214</v>
      </c>
      <c r="AQ9" s="18">
        <f t="shared" ca="1" si="10"/>
        <v>4</v>
      </c>
      <c r="AS9" s="5">
        <f t="shared" si="11"/>
        <v>4</v>
      </c>
      <c r="AT9" s="3" t="str">
        <f t="shared" si="11"/>
        <v>Parpol D</v>
      </c>
      <c r="AU9" s="4">
        <f t="shared" si="11"/>
        <v>261214</v>
      </c>
      <c r="AV9" s="17">
        <f ca="1">IF(AS7="","",VLOOKUP(AS9,Kursi,AS$4+2))</f>
        <v>1</v>
      </c>
      <c r="AW9" s="17">
        <f ca="1">IF(AT7="","",VLOOKUP(AV9,Bagi,2))</f>
        <v>1</v>
      </c>
      <c r="AX9" s="4">
        <f t="shared" ca="1" si="17"/>
        <v>261214</v>
      </c>
      <c r="AY9" s="17">
        <f t="shared" ca="1" si="18"/>
        <v>2</v>
      </c>
      <c r="BA9" s="26">
        <v>4</v>
      </c>
      <c r="BB9" s="30" t="s">
        <v>6</v>
      </c>
      <c r="BC9" s="31">
        <v>298743</v>
      </c>
      <c r="BD9" s="37">
        <f t="shared" si="12"/>
        <v>0</v>
      </c>
      <c r="BF9" s="5">
        <v>4</v>
      </c>
      <c r="BG9" s="3" t="s">
        <v>22</v>
      </c>
      <c r="BJ9" s="45">
        <f t="shared" si="1"/>
        <v>4</v>
      </c>
      <c r="BK9" s="46" t="str">
        <f t="shared" si="19"/>
        <v>Parpol D</v>
      </c>
      <c r="BL9" s="47">
        <f t="shared" si="20"/>
        <v>298743</v>
      </c>
      <c r="BM9" s="48">
        <f t="shared" si="13"/>
        <v>1</v>
      </c>
      <c r="BN9" s="48">
        <f t="shared" si="14"/>
        <v>1</v>
      </c>
      <c r="BO9" s="47">
        <f t="shared" si="21"/>
        <v>298743</v>
      </c>
      <c r="BP9" s="49">
        <f t="shared" si="22"/>
        <v>7</v>
      </c>
      <c r="BR9" s="56">
        <v>4</v>
      </c>
      <c r="BS9" s="53">
        <v>7</v>
      </c>
      <c r="BU9" s="62">
        <v>2</v>
      </c>
      <c r="BV9" s="13" t="str">
        <f t="shared" ref="BV9:BV15" si="23">BK7</f>
        <v>Parpol B</v>
      </c>
      <c r="BW9" s="15">
        <v>1</v>
      </c>
      <c r="BX9" s="15">
        <f t="shared" ref="BX9:BX15" si="24">COUNTIF(BG$6:BG$6,BV9)+1</f>
        <v>1</v>
      </c>
      <c r="BY9" s="15">
        <f t="shared" ref="BY9:BY15" si="25">COUNTIF(BG$6:BG$7,BV9)+1</f>
        <v>2</v>
      </c>
      <c r="BZ9" s="15">
        <f t="shared" ref="BZ9:BZ15" si="26">COUNTIF(BG$6:BG$8,BV9)+1</f>
        <v>2</v>
      </c>
      <c r="CA9" s="15">
        <f t="shared" ref="CA9:CA15" si="27">COUNTIF(BG$6:BG$9,BV9)+1</f>
        <v>2</v>
      </c>
      <c r="CB9" s="15">
        <f t="shared" ref="CB9:CB15" si="28">COUNTIF(BG$6:BG$10,BV9)+1</f>
        <v>2</v>
      </c>
      <c r="CC9" s="15">
        <f t="shared" ref="CC9:CC15" si="29">COUNTIF(BG$6:BG$11,BV9)+1</f>
        <v>2</v>
      </c>
      <c r="CD9" s="63">
        <f t="shared" ref="CD9:CD15" si="30">COUNTIF(BG$6:BG$12,BV9)+1</f>
        <v>3</v>
      </c>
    </row>
    <row r="10" spans="1:82" x14ac:dyDescent="0.25">
      <c r="B10" s="109">
        <v>6</v>
      </c>
      <c r="C10" s="95" t="s">
        <v>36</v>
      </c>
      <c r="D10" s="96">
        <v>16698754</v>
      </c>
      <c r="E10" s="97">
        <f t="shared" si="2"/>
        <v>0.13297033386476861</v>
      </c>
      <c r="F10" s="98">
        <f t="shared" si="3"/>
        <v>3</v>
      </c>
      <c r="G10" s="95" t="str">
        <f t="shared" si="4"/>
        <v>Lolos</v>
      </c>
      <c r="H10" s="110" t="str">
        <f t="shared" si="5"/>
        <v>Ada</v>
      </c>
      <c r="I10" s="132">
        <f t="shared" si="6"/>
        <v>0.04</v>
      </c>
      <c r="L10" s="154" t="s">
        <v>56</v>
      </c>
      <c r="M10" s="154"/>
      <c r="O10" s="83">
        <v>5</v>
      </c>
      <c r="P10" s="84" t="s">
        <v>7</v>
      </c>
      <c r="Q10" s="85">
        <v>311987</v>
      </c>
      <c r="R10" s="88">
        <f t="shared" ca="1" si="15"/>
        <v>1</v>
      </c>
      <c r="T10" s="5">
        <f>IF(Q$4&gt;T9,T9+1,"")</f>
        <v>5</v>
      </c>
      <c r="U10" s="3" t="str">
        <f ca="1">AY11</f>
        <v>Parpol B</v>
      </c>
      <c r="AC10" s="19">
        <v>5</v>
      </c>
      <c r="AD10" s="12" t="str">
        <f t="shared" si="7"/>
        <v>Parpol E</v>
      </c>
      <c r="AE10" s="20">
        <f t="shared" si="7"/>
        <v>311987</v>
      </c>
      <c r="AF10" s="21">
        <f>IF(AC10="","",VLOOKUP(AC10,Kursi,AC$4+2))</f>
        <v>1</v>
      </c>
      <c r="AG10" s="20">
        <f t="shared" si="16"/>
        <v>311987</v>
      </c>
      <c r="AH10" s="21">
        <f>RANK(AG10,AG$6:AG$10,0)</f>
        <v>4</v>
      </c>
      <c r="AK10" s="19">
        <v>5</v>
      </c>
      <c r="AL10" s="12" t="str">
        <f t="shared" si="8"/>
        <v>Parpol E</v>
      </c>
      <c r="AM10" s="20">
        <f t="shared" si="8"/>
        <v>311987</v>
      </c>
      <c r="AN10" s="18">
        <f ca="1">IF(AK8="","",VLOOKUP(AK10,Kursi,AK$4+2))</f>
        <v>1</v>
      </c>
      <c r="AO10" s="18">
        <f ca="1">VLOOKUP(AN10,Bagi,2)</f>
        <v>1</v>
      </c>
      <c r="AP10" s="14">
        <f t="shared" ca="1" si="9"/>
        <v>311987</v>
      </c>
      <c r="AQ10" s="21">
        <f t="shared" ca="1" si="10"/>
        <v>2</v>
      </c>
      <c r="AS10" s="5">
        <f t="shared" si="11"/>
        <v>5</v>
      </c>
      <c r="AT10" s="3" t="str">
        <f t="shared" si="11"/>
        <v>Parpol E</v>
      </c>
      <c r="AU10" s="4">
        <f t="shared" si="11"/>
        <v>311987</v>
      </c>
      <c r="AV10" s="17">
        <f ca="1">IF(AS8="","",VLOOKUP(AS10,Kursi,AS$4+2))</f>
        <v>2</v>
      </c>
      <c r="AW10" s="17">
        <f ca="1">IF(AT8="","",VLOOKUP(AV10,Bagi,2))</f>
        <v>3</v>
      </c>
      <c r="AX10" s="4">
        <f t="shared" ca="1" si="17"/>
        <v>103995.66666666667</v>
      </c>
      <c r="AY10" s="17">
        <f t="shared" ca="1" si="18"/>
        <v>5</v>
      </c>
      <c r="BA10" s="26">
        <v>5</v>
      </c>
      <c r="BB10" s="29" t="s">
        <v>7</v>
      </c>
      <c r="BC10" s="31">
        <v>221360</v>
      </c>
      <c r="BD10" s="37">
        <f t="shared" si="12"/>
        <v>0</v>
      </c>
      <c r="BF10" s="5">
        <v>5</v>
      </c>
      <c r="BG10" s="3" t="s">
        <v>20</v>
      </c>
      <c r="BJ10" s="45">
        <f t="shared" si="1"/>
        <v>5</v>
      </c>
      <c r="BK10" s="46" t="str">
        <f t="shared" si="19"/>
        <v>Parpol E</v>
      </c>
      <c r="BL10" s="47">
        <f t="shared" si="20"/>
        <v>221360</v>
      </c>
      <c r="BM10" s="48">
        <f t="shared" si="13"/>
        <v>1</v>
      </c>
      <c r="BN10" s="48">
        <f t="shared" si="14"/>
        <v>1</v>
      </c>
      <c r="BO10" s="47">
        <f t="shared" si="21"/>
        <v>221360</v>
      </c>
      <c r="BP10" s="49">
        <f t="shared" si="22"/>
        <v>8</v>
      </c>
      <c r="BR10" s="56">
        <v>5</v>
      </c>
      <c r="BS10" s="53">
        <v>9</v>
      </c>
      <c r="BU10" s="62">
        <v>3</v>
      </c>
      <c r="BV10" s="13" t="str">
        <f t="shared" si="23"/>
        <v>Parpol C</v>
      </c>
      <c r="BW10" s="15">
        <v>1</v>
      </c>
      <c r="BX10" s="15">
        <f t="shared" si="24"/>
        <v>1</v>
      </c>
      <c r="BY10" s="15">
        <f t="shared" si="25"/>
        <v>1</v>
      </c>
      <c r="BZ10" s="15">
        <f t="shared" si="26"/>
        <v>1</v>
      </c>
      <c r="CA10" s="15">
        <f t="shared" si="27"/>
        <v>1</v>
      </c>
      <c r="CB10" s="15">
        <f t="shared" si="28"/>
        <v>1</v>
      </c>
      <c r="CC10" s="15">
        <f t="shared" si="29"/>
        <v>1</v>
      </c>
      <c r="CD10" s="63">
        <f t="shared" si="30"/>
        <v>1</v>
      </c>
    </row>
    <row r="11" spans="1:82" x14ac:dyDescent="0.25">
      <c r="B11" s="109">
        <v>7</v>
      </c>
      <c r="C11" s="95" t="s">
        <v>37</v>
      </c>
      <c r="D11" s="96">
        <v>1687970</v>
      </c>
      <c r="E11" s="97">
        <f t="shared" si="2"/>
        <v>1.3441118687880154E-2</v>
      </c>
      <c r="F11" s="98">
        <f t="shared" si="3"/>
        <v>14</v>
      </c>
      <c r="G11" s="95" t="str">
        <f t="shared" si="4"/>
        <v>Tidak Lolos</v>
      </c>
      <c r="H11" s="110" t="str">
        <f t="shared" si="5"/>
        <v>Tidak ada</v>
      </c>
      <c r="I11" s="132">
        <f t="shared" si="6"/>
        <v>0.04</v>
      </c>
      <c r="O11" s="69"/>
      <c r="P11" s="90" t="s">
        <v>18</v>
      </c>
      <c r="Q11" s="78">
        <f>SUM(Q6:Q10)</f>
        <v>2726774</v>
      </c>
      <c r="R11" s="89">
        <f ca="1">SUM(R6:R10)</f>
        <v>6</v>
      </c>
      <c r="T11" s="5">
        <f>IF(Q$4&gt;T10,T10+1,"")</f>
        <v>6</v>
      </c>
      <c r="U11" s="3" t="str">
        <f ca="1">AY22</f>
        <v>Parpol D</v>
      </c>
      <c r="AC11" s="173" t="s">
        <v>18</v>
      </c>
      <c r="AD11" s="174"/>
      <c r="AE11" s="14">
        <f>SUM(AE6:AE10)</f>
        <v>2726774</v>
      </c>
      <c r="AF11" s="175">
        <f>AC4</f>
        <v>1</v>
      </c>
      <c r="AG11" s="176"/>
      <c r="AH11" s="24" t="str">
        <f ca="1">IF(AC5="","",OFFSET(AD5,MATCH(1,AH6:AH10,0),0))</f>
        <v>Parpol B</v>
      </c>
      <c r="AK11" s="23"/>
      <c r="AL11" s="22"/>
      <c r="AM11" s="18">
        <f>AE22</f>
        <v>2726774</v>
      </c>
      <c r="AN11" s="164">
        <f>AK4</f>
        <v>3</v>
      </c>
      <c r="AO11" s="165"/>
      <c r="AP11" s="166"/>
      <c r="AQ11" s="24" t="str">
        <f ca="1">IF(AL5="","",OFFSET(AL5,MATCH(1,AQ6:AQ10,0),0))</f>
        <v>Parpol A</v>
      </c>
      <c r="AS11" s="154" t="str">
        <f>IF(AS4="","","Jumlah")</f>
        <v>Jumlah</v>
      </c>
      <c r="AT11" s="154"/>
      <c r="AU11" s="4">
        <f>IF($AS$4="","",AM22)</f>
        <v>2726774</v>
      </c>
      <c r="AV11" s="162">
        <f>AS4</f>
        <v>5</v>
      </c>
      <c r="AW11" s="162"/>
      <c r="AX11" s="162"/>
      <c r="AY11" s="24" t="str">
        <f ca="1">IF(AT5="","",OFFSET(AT5,MATCH(1,AY6:AY10,0),0))</f>
        <v>Parpol B</v>
      </c>
      <c r="BA11" s="26">
        <v>6</v>
      </c>
      <c r="BB11" s="30" t="s">
        <v>20</v>
      </c>
      <c r="BC11" s="31">
        <v>418978</v>
      </c>
      <c r="BD11" s="37">
        <f t="shared" si="12"/>
        <v>1</v>
      </c>
      <c r="BF11" s="5">
        <v>6</v>
      </c>
      <c r="BG11" s="3" t="s">
        <v>21</v>
      </c>
      <c r="BJ11" s="45">
        <f t="shared" si="1"/>
        <v>6</v>
      </c>
      <c r="BK11" s="46" t="str">
        <f t="shared" si="19"/>
        <v>Parpol F</v>
      </c>
      <c r="BL11" s="47">
        <f t="shared" si="20"/>
        <v>418978</v>
      </c>
      <c r="BM11" s="48">
        <f t="shared" si="13"/>
        <v>1</v>
      </c>
      <c r="BN11" s="48">
        <f t="shared" si="14"/>
        <v>1</v>
      </c>
      <c r="BO11" s="47">
        <f t="shared" si="21"/>
        <v>418978</v>
      </c>
      <c r="BP11" s="49">
        <f t="shared" si="22"/>
        <v>4</v>
      </c>
      <c r="BR11" s="56">
        <v>6</v>
      </c>
      <c r="BS11" s="53">
        <v>11</v>
      </c>
      <c r="BU11" s="62">
        <v>4</v>
      </c>
      <c r="BV11" s="13" t="str">
        <f t="shared" si="23"/>
        <v>Parpol D</v>
      </c>
      <c r="BW11" s="15">
        <v>1</v>
      </c>
      <c r="BX11" s="15">
        <f t="shared" si="24"/>
        <v>1</v>
      </c>
      <c r="BY11" s="15">
        <f t="shared" si="25"/>
        <v>1</v>
      </c>
      <c r="BZ11" s="15">
        <f t="shared" si="26"/>
        <v>1</v>
      </c>
      <c r="CA11" s="15">
        <f t="shared" si="27"/>
        <v>1</v>
      </c>
      <c r="CB11" s="15">
        <f t="shared" si="28"/>
        <v>1</v>
      </c>
      <c r="CC11" s="15">
        <f t="shared" si="29"/>
        <v>1</v>
      </c>
      <c r="CD11" s="63">
        <f t="shared" si="30"/>
        <v>1</v>
      </c>
    </row>
    <row r="12" spans="1:82" x14ac:dyDescent="0.25">
      <c r="B12" s="109">
        <v>8</v>
      </c>
      <c r="C12" s="95" t="s">
        <v>38</v>
      </c>
      <c r="D12" s="96">
        <v>23187955</v>
      </c>
      <c r="E12" s="97">
        <f t="shared" si="2"/>
        <v>0.18464312474998021</v>
      </c>
      <c r="F12" s="98">
        <f t="shared" si="3"/>
        <v>2</v>
      </c>
      <c r="G12" s="95" t="str">
        <f t="shared" si="4"/>
        <v>Lolos</v>
      </c>
      <c r="H12" s="110" t="str">
        <f t="shared" si="5"/>
        <v>Ada</v>
      </c>
      <c r="I12" s="132">
        <f t="shared" si="6"/>
        <v>0.04</v>
      </c>
      <c r="BA12" s="26">
        <v>7</v>
      </c>
      <c r="BB12" s="29" t="s">
        <v>21</v>
      </c>
      <c r="BC12" s="31">
        <v>345781</v>
      </c>
      <c r="BD12" s="37">
        <f t="shared" si="12"/>
        <v>1</v>
      </c>
      <c r="BF12" s="5">
        <v>7</v>
      </c>
      <c r="BG12" s="3" t="s">
        <v>4</v>
      </c>
      <c r="BJ12" s="45">
        <f t="shared" si="1"/>
        <v>7</v>
      </c>
      <c r="BK12" s="46" t="str">
        <f t="shared" si="19"/>
        <v>Parpol G</v>
      </c>
      <c r="BL12" s="47">
        <f t="shared" si="20"/>
        <v>345781</v>
      </c>
      <c r="BM12" s="48">
        <f t="shared" si="13"/>
        <v>1</v>
      </c>
      <c r="BN12" s="48">
        <f t="shared" si="14"/>
        <v>1</v>
      </c>
      <c r="BO12" s="47">
        <f t="shared" si="21"/>
        <v>345781</v>
      </c>
      <c r="BP12" s="49">
        <f t="shared" si="22"/>
        <v>5</v>
      </c>
      <c r="BR12" s="56">
        <v>7</v>
      </c>
      <c r="BS12" s="53">
        <v>13</v>
      </c>
      <c r="BU12" s="62">
        <v>5</v>
      </c>
      <c r="BV12" s="13" t="str">
        <f t="shared" si="23"/>
        <v>Parpol E</v>
      </c>
      <c r="BW12" s="15">
        <v>1</v>
      </c>
      <c r="BX12" s="15">
        <f t="shared" si="24"/>
        <v>1</v>
      </c>
      <c r="BY12" s="15">
        <f t="shared" si="25"/>
        <v>1</v>
      </c>
      <c r="BZ12" s="15">
        <f t="shared" si="26"/>
        <v>1</v>
      </c>
      <c r="CA12" s="15">
        <f t="shared" si="27"/>
        <v>1</v>
      </c>
      <c r="CB12" s="15">
        <f t="shared" si="28"/>
        <v>1</v>
      </c>
      <c r="CC12" s="15">
        <f t="shared" si="29"/>
        <v>1</v>
      </c>
      <c r="CD12" s="63">
        <f t="shared" si="30"/>
        <v>1</v>
      </c>
    </row>
    <row r="13" spans="1:82" ht="15.75" thickBot="1" x14ac:dyDescent="0.3">
      <c r="B13" s="109">
        <v>9</v>
      </c>
      <c r="C13" s="95" t="s">
        <v>39</v>
      </c>
      <c r="D13" s="96">
        <v>6245784</v>
      </c>
      <c r="E13" s="97">
        <f t="shared" si="2"/>
        <v>4.9734488197576296E-2</v>
      </c>
      <c r="F13" s="98">
        <f t="shared" si="3"/>
        <v>6</v>
      </c>
      <c r="G13" s="95" t="str">
        <f t="shared" si="4"/>
        <v>Lolos</v>
      </c>
      <c r="H13" s="110" t="str">
        <f t="shared" si="5"/>
        <v>Ada</v>
      </c>
      <c r="I13" s="132">
        <f t="shared" si="6"/>
        <v>0.04</v>
      </c>
      <c r="T13" s="38" t="s">
        <v>28</v>
      </c>
      <c r="BA13" s="26">
        <v>8</v>
      </c>
      <c r="BB13" s="30" t="s">
        <v>22</v>
      </c>
      <c r="BC13" s="31">
        <v>1291874</v>
      </c>
      <c r="BD13" s="37">
        <f t="shared" si="12"/>
        <v>2</v>
      </c>
      <c r="BF13" s="5">
        <v>8</v>
      </c>
      <c r="BG13" s="3" t="s">
        <v>5</v>
      </c>
      <c r="BJ13" s="45">
        <f t="shared" si="1"/>
        <v>8</v>
      </c>
      <c r="BK13" s="46" t="str">
        <f t="shared" si="19"/>
        <v>Parpol H</v>
      </c>
      <c r="BL13" s="47">
        <f t="shared" si="20"/>
        <v>1291874</v>
      </c>
      <c r="BM13" s="48">
        <f t="shared" si="13"/>
        <v>1</v>
      </c>
      <c r="BN13" s="48">
        <f t="shared" si="14"/>
        <v>1</v>
      </c>
      <c r="BO13" s="47">
        <f t="shared" si="21"/>
        <v>1291874</v>
      </c>
      <c r="BP13" s="49">
        <f t="shared" si="22"/>
        <v>1</v>
      </c>
      <c r="BR13" s="57">
        <v>8</v>
      </c>
      <c r="BS13" s="54">
        <v>15</v>
      </c>
      <c r="BU13" s="62">
        <v>6</v>
      </c>
      <c r="BV13" s="13" t="str">
        <f t="shared" si="23"/>
        <v>Parpol F</v>
      </c>
      <c r="BW13" s="15">
        <v>1</v>
      </c>
      <c r="BX13" s="15">
        <f t="shared" si="24"/>
        <v>1</v>
      </c>
      <c r="BY13" s="15">
        <f t="shared" si="25"/>
        <v>1</v>
      </c>
      <c r="BZ13" s="15">
        <f t="shared" si="26"/>
        <v>1</v>
      </c>
      <c r="CA13" s="15">
        <f t="shared" si="27"/>
        <v>1</v>
      </c>
      <c r="CB13" s="15">
        <f t="shared" si="28"/>
        <v>2</v>
      </c>
      <c r="CC13" s="15">
        <f t="shared" si="29"/>
        <v>2</v>
      </c>
      <c r="CD13" s="63">
        <f t="shared" si="30"/>
        <v>2</v>
      </c>
    </row>
    <row r="14" spans="1:82" x14ac:dyDescent="0.25">
      <c r="B14" s="109">
        <v>10</v>
      </c>
      <c r="C14" s="95" t="s">
        <v>40</v>
      </c>
      <c r="D14" s="96">
        <v>1245879</v>
      </c>
      <c r="E14" s="97">
        <f t="shared" si="2"/>
        <v>9.9207968801207601E-3</v>
      </c>
      <c r="F14" s="98">
        <f t="shared" si="3"/>
        <v>15</v>
      </c>
      <c r="G14" s="95" t="str">
        <f t="shared" si="4"/>
        <v>Tidak Lolos</v>
      </c>
      <c r="H14" s="110" t="str">
        <f t="shared" si="5"/>
        <v>Tidak ada</v>
      </c>
      <c r="I14" s="132">
        <f t="shared" si="6"/>
        <v>0.04</v>
      </c>
      <c r="T14" s="6"/>
      <c r="U14" s="8"/>
      <c r="V14" s="170" t="s">
        <v>19</v>
      </c>
      <c r="W14" s="170"/>
      <c r="X14" s="170"/>
      <c r="Y14" s="7">
        <f>Y15</f>
        <v>4</v>
      </c>
      <c r="Z14" s="7">
        <f t="shared" ref="Z14:AA14" si="31">Z15</f>
        <v>5</v>
      </c>
      <c r="AA14" s="7">
        <f t="shared" si="31"/>
        <v>6</v>
      </c>
      <c r="BA14" s="27"/>
      <c r="BB14" s="27" t="s">
        <v>18</v>
      </c>
      <c r="BC14" s="32">
        <f>SUM(BC6:BC13)</f>
        <v>4334634</v>
      </c>
      <c r="BD14" s="34">
        <f>SUM(BD6:BD13)</f>
        <v>8</v>
      </c>
      <c r="BF14" s="5"/>
      <c r="BJ14" s="160" t="s">
        <v>18</v>
      </c>
      <c r="BK14" s="160"/>
      <c r="BL14" s="68">
        <f>SUM(BL6:BL13)</f>
        <v>4334634</v>
      </c>
      <c r="BM14" s="159" t="s">
        <v>26</v>
      </c>
      <c r="BN14" s="160"/>
      <c r="BO14" s="161"/>
      <c r="BP14" s="43" t="str">
        <f ca="1">OFFSET(BK5,MATCH(1,BP6:BP19,0),0)</f>
        <v>Parpol H</v>
      </c>
      <c r="BU14" s="62">
        <v>7</v>
      </c>
      <c r="BV14" s="13" t="str">
        <f t="shared" si="23"/>
        <v>Parpol G</v>
      </c>
      <c r="BW14" s="15">
        <v>1</v>
      </c>
      <c r="BX14" s="15">
        <f t="shared" si="24"/>
        <v>1</v>
      </c>
      <c r="BY14" s="15">
        <f t="shared" si="25"/>
        <v>1</v>
      </c>
      <c r="BZ14" s="15">
        <f t="shared" si="26"/>
        <v>1</v>
      </c>
      <c r="CA14" s="15">
        <f t="shared" si="27"/>
        <v>1</v>
      </c>
      <c r="CB14" s="15">
        <f t="shared" si="28"/>
        <v>1</v>
      </c>
      <c r="CC14" s="15">
        <f t="shared" si="29"/>
        <v>2</v>
      </c>
      <c r="CD14" s="63">
        <f t="shared" si="30"/>
        <v>2</v>
      </c>
    </row>
    <row r="15" spans="1:82" ht="15.75" thickBot="1" x14ac:dyDescent="0.3">
      <c r="B15" s="109">
        <v>11</v>
      </c>
      <c r="C15" s="95" t="s">
        <v>41</v>
      </c>
      <c r="D15" s="96">
        <v>32657944</v>
      </c>
      <c r="E15" s="97">
        <f t="shared" si="2"/>
        <v>0.2600516012761741</v>
      </c>
      <c r="F15" s="98">
        <f t="shared" si="3"/>
        <v>1</v>
      </c>
      <c r="G15" s="95" t="str">
        <f t="shared" si="4"/>
        <v>Lolos</v>
      </c>
      <c r="H15" s="110" t="str">
        <f t="shared" si="5"/>
        <v>Ada</v>
      </c>
      <c r="I15" s="132">
        <f t="shared" si="6"/>
        <v>0.04</v>
      </c>
      <c r="T15" s="6" t="s">
        <v>14</v>
      </c>
      <c r="U15" s="8" t="s">
        <v>9</v>
      </c>
      <c r="V15" s="10">
        <v>1</v>
      </c>
      <c r="W15" s="10">
        <v>2</v>
      </c>
      <c r="X15" s="11">
        <v>3</v>
      </c>
      <c r="Y15" s="7">
        <f>IF($Q4&gt;X15,X15+1,"")</f>
        <v>4</v>
      </c>
      <c r="Z15" s="7">
        <f>IF($Q4&gt;Y15,Y15+1,"")</f>
        <v>5</v>
      </c>
      <c r="AA15" s="7">
        <f>IF($Q4&gt;Z15,Z15+1,"")</f>
        <v>6</v>
      </c>
      <c r="AC15" s="167">
        <v>2</v>
      </c>
      <c r="AD15" s="167"/>
      <c r="AE15" s="167"/>
      <c r="AK15" s="167">
        <f>IF($Q4&gt;AK4,AK4+1,"")</f>
        <v>4</v>
      </c>
      <c r="AL15" s="167"/>
      <c r="AM15" s="167"/>
      <c r="AS15" s="167">
        <f>IF($Q4&gt;AS4,AS4+1,"")</f>
        <v>6</v>
      </c>
      <c r="AT15" s="167"/>
      <c r="AU15" s="167"/>
      <c r="BA15" s="128"/>
      <c r="BB15" s="129"/>
      <c r="BC15" s="125"/>
      <c r="BD15" s="123"/>
      <c r="BJ15" s="123"/>
      <c r="BK15" s="124"/>
      <c r="BL15" s="125"/>
      <c r="BM15" s="126"/>
      <c r="BN15" s="126"/>
      <c r="BO15" s="125"/>
      <c r="BP15" s="127"/>
      <c r="BU15" s="64">
        <v>8</v>
      </c>
      <c r="BV15" s="65" t="str">
        <f t="shared" si="23"/>
        <v>Parpol H</v>
      </c>
      <c r="BW15" s="66">
        <v>1</v>
      </c>
      <c r="BX15" s="66">
        <f t="shared" si="24"/>
        <v>2</v>
      </c>
      <c r="BY15" s="66">
        <f t="shared" si="25"/>
        <v>2</v>
      </c>
      <c r="BZ15" s="66">
        <f t="shared" si="26"/>
        <v>2</v>
      </c>
      <c r="CA15" s="66">
        <f t="shared" si="27"/>
        <v>3</v>
      </c>
      <c r="CB15" s="66">
        <f t="shared" si="28"/>
        <v>3</v>
      </c>
      <c r="CC15" s="66">
        <f t="shared" si="29"/>
        <v>3</v>
      </c>
      <c r="CD15" s="67">
        <f t="shared" si="30"/>
        <v>3</v>
      </c>
    </row>
    <row r="16" spans="1:82" ht="15.75" thickBot="1" x14ac:dyDescent="0.3">
      <c r="B16" s="109">
        <v>12</v>
      </c>
      <c r="C16" s="95" t="s">
        <v>42</v>
      </c>
      <c r="D16" s="96">
        <v>2357984</v>
      </c>
      <c r="E16" s="97">
        <f t="shared" si="2"/>
        <v>1.8776366172457093E-2</v>
      </c>
      <c r="F16" s="98">
        <f t="shared" si="3"/>
        <v>12</v>
      </c>
      <c r="G16" s="95" t="str">
        <f t="shared" si="4"/>
        <v>Tidak Lolos</v>
      </c>
      <c r="H16" s="110" t="str">
        <f t="shared" si="5"/>
        <v>Tidak ada</v>
      </c>
      <c r="I16" s="132">
        <f t="shared" si="6"/>
        <v>0.04</v>
      </c>
      <c r="T16" s="6"/>
      <c r="U16" s="8"/>
      <c r="V16" s="171" t="s">
        <v>15</v>
      </c>
      <c r="W16" s="172"/>
      <c r="X16" s="172"/>
      <c r="Y16" s="7">
        <f>Y15</f>
        <v>4</v>
      </c>
      <c r="Z16" s="7">
        <f>Z15</f>
        <v>5</v>
      </c>
      <c r="AA16" s="7">
        <f>AA15</f>
        <v>6</v>
      </c>
      <c r="AC16" s="6" t="s">
        <v>16</v>
      </c>
      <c r="AD16" s="16" t="s">
        <v>9</v>
      </c>
      <c r="AE16" s="16" t="s">
        <v>0</v>
      </c>
      <c r="AF16" s="16" t="s">
        <v>11</v>
      </c>
      <c r="AG16" s="16" t="s">
        <v>1</v>
      </c>
      <c r="AH16" s="16" t="s">
        <v>10</v>
      </c>
      <c r="AI16" s="6" t="s">
        <v>12</v>
      </c>
      <c r="AK16" s="133" t="str">
        <f t="shared" ref="AK16:AQ16" si="32">IF($AK$15="","",AK5)</f>
        <v>No Urut</v>
      </c>
      <c r="AL16" s="133" t="str">
        <f t="shared" si="32"/>
        <v>Partai</v>
      </c>
      <c r="AM16" s="133" t="str">
        <f t="shared" si="32"/>
        <v>Suara</v>
      </c>
      <c r="AN16" s="133" t="str">
        <f t="shared" si="32"/>
        <v>Kursi ke-</v>
      </c>
      <c r="AO16" s="133" t="str">
        <f t="shared" si="32"/>
        <v>Pembagi</v>
      </c>
      <c r="AP16" s="133" t="str">
        <f t="shared" si="32"/>
        <v>Hasil</v>
      </c>
      <c r="AQ16" s="133" t="str">
        <f t="shared" si="32"/>
        <v>Peringkat</v>
      </c>
      <c r="AS16" s="133" t="str">
        <f t="shared" ref="AS16:AY16" si="33">IF($AS$15="","",AS5)</f>
        <v>No Urut</v>
      </c>
      <c r="AT16" s="133" t="str">
        <f t="shared" si="33"/>
        <v>Partai</v>
      </c>
      <c r="AU16" s="133" t="str">
        <f t="shared" si="33"/>
        <v>Suara</v>
      </c>
      <c r="AV16" s="133" t="str">
        <f t="shared" si="33"/>
        <v>Kursi ke-</v>
      </c>
      <c r="AW16" s="133" t="str">
        <f t="shared" si="33"/>
        <v>Pembagi</v>
      </c>
      <c r="AX16" s="133" t="str">
        <f t="shared" si="33"/>
        <v>Hasil</v>
      </c>
      <c r="AY16" s="133" t="str">
        <f t="shared" si="33"/>
        <v>Peringkat</v>
      </c>
      <c r="BA16" s="128"/>
      <c r="BB16" s="124"/>
      <c r="BC16" s="125"/>
      <c r="BD16" s="123"/>
      <c r="BJ16" s="123"/>
      <c r="BK16" s="124"/>
      <c r="BL16" s="125"/>
      <c r="BM16" s="126"/>
      <c r="BN16" s="126"/>
      <c r="BO16" s="125"/>
      <c r="BP16" s="127"/>
      <c r="BR16" s="154" t="s">
        <v>27</v>
      </c>
      <c r="BS16" s="154"/>
      <c r="BU16" s="130"/>
      <c r="BV16" s="131"/>
      <c r="BW16" s="130"/>
      <c r="BX16" s="130"/>
      <c r="BY16" s="130"/>
      <c r="BZ16" s="130"/>
      <c r="CA16" s="130"/>
      <c r="CB16" s="130"/>
      <c r="CC16" s="130"/>
      <c r="CD16" s="130"/>
    </row>
    <row r="17" spans="2:82" x14ac:dyDescent="0.25">
      <c r="B17" s="109">
        <v>13</v>
      </c>
      <c r="C17" s="95" t="s">
        <v>43</v>
      </c>
      <c r="D17" s="96">
        <v>3698785</v>
      </c>
      <c r="E17" s="97">
        <f t="shared" si="2"/>
        <v>2.9453016455239605E-2</v>
      </c>
      <c r="F17" s="98">
        <f t="shared" si="3"/>
        <v>10</v>
      </c>
      <c r="G17" s="95" t="str">
        <f t="shared" si="4"/>
        <v>Tidak Lolos</v>
      </c>
      <c r="H17" s="110" t="str">
        <f t="shared" si="5"/>
        <v>Tidak ada</v>
      </c>
      <c r="I17" s="132">
        <f t="shared" si="6"/>
        <v>0.04</v>
      </c>
      <c r="T17" s="142">
        <v>1</v>
      </c>
      <c r="U17" s="143" t="str">
        <f>P6</f>
        <v>Parpol A</v>
      </c>
      <c r="V17" s="144">
        <v>1</v>
      </c>
      <c r="W17" s="144">
        <f ca="1">COUNTIF(U$6:U$6,U17)+1</f>
        <v>1</v>
      </c>
      <c r="X17" s="144">
        <f ca="1">COUNTIF(U$6:U$7,U17)+1</f>
        <v>1</v>
      </c>
      <c r="Y17" s="144">
        <f ca="1">IF(Y$15="","",COUNTIF(U$6:U$8,U17)+1)</f>
        <v>2</v>
      </c>
      <c r="Z17" s="144">
        <f ca="1">IF(Z$15="","",COUNTIF(U$6:U$9,U17)+1)</f>
        <v>2</v>
      </c>
      <c r="AA17" s="145">
        <f ca="1">IF(AA$15="","",COUNTIF(U$6:U$10,U17)+1)</f>
        <v>2</v>
      </c>
      <c r="AC17" s="15">
        <v>1</v>
      </c>
      <c r="AD17" s="13" t="str">
        <f t="shared" ref="AD17:AE21" si="34">AD6</f>
        <v>Parpol A</v>
      </c>
      <c r="AE17" s="14">
        <f t="shared" si="34"/>
        <v>548221</v>
      </c>
      <c r="AF17" s="18">
        <f ca="1">IF(AC15="","",VLOOKUP(AC17,Kursi,AC$15+2))</f>
        <v>1</v>
      </c>
      <c r="AG17" s="18">
        <f ca="1">VLOOKUP(AF17,Bagi,2)</f>
        <v>1</v>
      </c>
      <c r="AH17" s="14">
        <f ca="1">AE17/AG17</f>
        <v>548221</v>
      </c>
      <c r="AI17" s="18">
        <f ca="1">RANK(AH17,AH$17:AH$21,0)</f>
        <v>2</v>
      </c>
      <c r="AK17" s="133">
        <f t="shared" ref="AK17:AM21" si="35">IF($AK$15="","",AK6)</f>
        <v>1</v>
      </c>
      <c r="AL17" s="3" t="str">
        <f t="shared" si="35"/>
        <v>Parpol A</v>
      </c>
      <c r="AM17" s="4">
        <f t="shared" si="35"/>
        <v>548221</v>
      </c>
      <c r="AN17" s="4">
        <f ca="1">IF(AK15="","",VLOOKUP(AK17,Kursi,AK$15+2))</f>
        <v>2</v>
      </c>
      <c r="AO17" s="4">
        <f ca="1">IF(AK15="","",VLOOKUP(AN17,Bagi,2))</f>
        <v>3</v>
      </c>
      <c r="AP17" s="4">
        <f ca="1">IF(AO17="","",AM17/AO17)</f>
        <v>182740.33333333334</v>
      </c>
      <c r="AQ17" s="4">
        <f ca="1">IF(AO17="","",RANK(AP17,AP$17:AP$21,0))</f>
        <v>5</v>
      </c>
      <c r="AS17" s="133">
        <f t="shared" ref="AS17:AU21" si="36">IF($AS$15="","",AS6)</f>
        <v>1</v>
      </c>
      <c r="AT17" s="3" t="str">
        <f t="shared" si="36"/>
        <v>Parpol A</v>
      </c>
      <c r="AU17" s="4">
        <f t="shared" si="36"/>
        <v>548221</v>
      </c>
      <c r="AV17" s="17">
        <f ca="1">IF(AS15="","",VLOOKUP(AS17,Kursi,AS$15+2))</f>
        <v>2</v>
      </c>
      <c r="AW17" s="17">
        <f ca="1">IF(AS15="","",VLOOKUP(AV17,Bagi,2))</f>
        <v>3</v>
      </c>
      <c r="AX17" s="4">
        <f ca="1">IF(AW17="","",AU17/AW17)</f>
        <v>182740.33333333334</v>
      </c>
      <c r="AY17" s="17">
        <f ca="1">IF(AW17="","",RANK(AX17,AX$17:AX$21,0))</f>
        <v>4</v>
      </c>
      <c r="BA17" s="128"/>
      <c r="BB17" s="129"/>
      <c r="BC17" s="125"/>
      <c r="BD17" s="123"/>
      <c r="BJ17" s="123"/>
      <c r="BK17" s="124"/>
      <c r="BL17" s="125"/>
      <c r="BM17" s="126"/>
      <c r="BN17" s="126"/>
      <c r="BO17" s="125"/>
      <c r="BP17" s="127"/>
      <c r="BU17" s="130"/>
      <c r="BV17" s="131"/>
      <c r="BW17" s="130"/>
      <c r="BX17" s="130"/>
      <c r="BY17" s="130"/>
      <c r="BZ17" s="130"/>
      <c r="CA17" s="130"/>
      <c r="CB17" s="130"/>
      <c r="CC17" s="130"/>
      <c r="CD17" s="130"/>
    </row>
    <row r="18" spans="2:82" x14ac:dyDescent="0.25">
      <c r="B18" s="109">
        <v>14</v>
      </c>
      <c r="C18" s="95" t="s">
        <v>44</v>
      </c>
      <c r="D18" s="96">
        <v>2312478</v>
      </c>
      <c r="E18" s="97">
        <f t="shared" si="2"/>
        <v>1.8414006920212875E-2</v>
      </c>
      <c r="F18" s="98">
        <f t="shared" si="3"/>
        <v>13</v>
      </c>
      <c r="G18" s="95" t="str">
        <f t="shared" si="4"/>
        <v>Tidak Lolos</v>
      </c>
      <c r="H18" s="110" t="str">
        <f t="shared" si="5"/>
        <v>Tidak ada</v>
      </c>
      <c r="I18" s="132">
        <f t="shared" si="6"/>
        <v>0.04</v>
      </c>
      <c r="T18" s="146">
        <v>2</v>
      </c>
      <c r="U18" s="131" t="str">
        <f>P7</f>
        <v>Parpol B</v>
      </c>
      <c r="V18" s="130">
        <v>1</v>
      </c>
      <c r="W18" s="130">
        <f ca="1">COUNTIF(U$6:U$6,U18)+1</f>
        <v>2</v>
      </c>
      <c r="X18" s="130">
        <f ca="1">COUNTIF(U$6:U$7,U18)+1</f>
        <v>2</v>
      </c>
      <c r="Y18" s="130">
        <f ca="1">IF(Y$15="","",COUNTIF(U$6:U$8,U18)+1)</f>
        <v>2</v>
      </c>
      <c r="Z18" s="130">
        <f ca="1">IF(Z$15="","",COUNTIF(U$6:U$9,U18)+1)</f>
        <v>2</v>
      </c>
      <c r="AA18" s="147">
        <f ca="1">IF(AA$15="","",COUNTIF(U$6:U$10,U18)+1)</f>
        <v>3</v>
      </c>
      <c r="AC18" s="15">
        <v>2</v>
      </c>
      <c r="AD18" s="13" t="str">
        <f t="shared" si="34"/>
        <v>Parpol B</v>
      </c>
      <c r="AE18" s="14">
        <f t="shared" si="34"/>
        <v>918101</v>
      </c>
      <c r="AF18" s="18">
        <f ca="1">IF(AC16="","",VLOOKUP(AC18,Kursi,AC$15+2))</f>
        <v>2</v>
      </c>
      <c r="AG18" s="18">
        <f ca="1">VLOOKUP(AF18,Bagi,2)</f>
        <v>3</v>
      </c>
      <c r="AH18" s="14">
        <f t="shared" ref="AH18:AH21" ca="1" si="37">AE18/AG18</f>
        <v>306033.66666666669</v>
      </c>
      <c r="AI18" s="18">
        <f ca="1">RANK(AH18,AH$17:AH$21,0)</f>
        <v>4</v>
      </c>
      <c r="AK18" s="133">
        <f t="shared" si="35"/>
        <v>2</v>
      </c>
      <c r="AL18" s="3" t="str">
        <f t="shared" si="35"/>
        <v>Parpol B</v>
      </c>
      <c r="AM18" s="4">
        <f t="shared" si="35"/>
        <v>918101</v>
      </c>
      <c r="AN18" s="4">
        <f ca="1">IF(AK16="","",VLOOKUP(AK18,Kursi,AK$15+2))</f>
        <v>2</v>
      </c>
      <c r="AO18" s="4">
        <f ca="1">IF(AL16="","",VLOOKUP(AN18,Bagi,2))</f>
        <v>3</v>
      </c>
      <c r="AP18" s="4">
        <f t="shared" ref="AP18:AP21" ca="1" si="38">IF(AO18="","",AM18/AO18)</f>
        <v>306033.66666666669</v>
      </c>
      <c r="AQ18" s="4">
        <f ca="1">IF(AO18="","",RANK(AP18,AP$17:AP$21,0))</f>
        <v>2</v>
      </c>
      <c r="AS18" s="133">
        <f t="shared" si="36"/>
        <v>2</v>
      </c>
      <c r="AT18" s="3" t="str">
        <f t="shared" si="36"/>
        <v>Parpol B</v>
      </c>
      <c r="AU18" s="4">
        <f t="shared" si="36"/>
        <v>918101</v>
      </c>
      <c r="AV18" s="17">
        <f ca="1">IF(AS16="","",VLOOKUP(AS18,Kursi,AS$15+2))</f>
        <v>3</v>
      </c>
      <c r="AW18" s="17">
        <f ca="1">IF(AT16="","",VLOOKUP(AV18,Bagi,2))</f>
        <v>5</v>
      </c>
      <c r="AX18" s="4">
        <f t="shared" ref="AX18:AX21" ca="1" si="39">IF(AW18="","",AU18/AW18)</f>
        <v>183620.2</v>
      </c>
      <c r="AY18" s="17">
        <f ca="1">IF(AW18="","",RANK(AX18,AX$17:AX$21,0))</f>
        <v>3</v>
      </c>
      <c r="BA18" s="128"/>
      <c r="BB18" s="124"/>
      <c r="BC18" s="125"/>
      <c r="BD18" s="123"/>
      <c r="BJ18" s="123"/>
      <c r="BK18" s="124"/>
      <c r="BL18" s="125"/>
      <c r="BM18" s="126"/>
      <c r="BN18" s="126"/>
      <c r="BO18" s="125"/>
      <c r="BP18" s="127"/>
      <c r="BU18" s="154" t="s">
        <v>29</v>
      </c>
      <c r="BV18" s="154"/>
      <c r="BW18" s="154"/>
      <c r="BX18" s="154"/>
      <c r="BY18" s="154"/>
      <c r="BZ18" s="154"/>
      <c r="CA18" s="154"/>
      <c r="CB18" s="154"/>
      <c r="CC18" s="154"/>
      <c r="CD18" s="154"/>
    </row>
    <row r="19" spans="2:82" x14ac:dyDescent="0.25">
      <c r="B19" s="111">
        <v>15</v>
      </c>
      <c r="C19" s="112" t="s">
        <v>45</v>
      </c>
      <c r="D19" s="113">
        <v>3897441</v>
      </c>
      <c r="E19" s="114">
        <f t="shared" si="2"/>
        <v>3.103489224335167E-2</v>
      </c>
      <c r="F19" s="115">
        <f t="shared" si="3"/>
        <v>9</v>
      </c>
      <c r="G19" s="112" t="str">
        <f t="shared" si="4"/>
        <v>Tidak Lolos</v>
      </c>
      <c r="H19" s="116" t="str">
        <f t="shared" si="5"/>
        <v>Tidak ada</v>
      </c>
      <c r="I19" s="132">
        <f t="shared" si="6"/>
        <v>0.04</v>
      </c>
      <c r="T19" s="146">
        <v>3</v>
      </c>
      <c r="U19" s="131" t="str">
        <f>P8</f>
        <v>Parpol C</v>
      </c>
      <c r="V19" s="130">
        <v>1</v>
      </c>
      <c r="W19" s="130">
        <f ca="1">COUNTIF(U$6:U$6,U19)+1</f>
        <v>1</v>
      </c>
      <c r="X19" s="130">
        <f ca="1">COUNTIF(U$6:U$7,U19)+1</f>
        <v>2</v>
      </c>
      <c r="Y19" s="130">
        <f ca="1">IF(Y$15="","",COUNTIF(U$6:U$8,U19)+1)</f>
        <v>2</v>
      </c>
      <c r="Z19" s="130">
        <f ca="1">IF(Z$15="","",COUNTIF(U$6:U$9,U19)+1)</f>
        <v>2</v>
      </c>
      <c r="AA19" s="147">
        <f ca="1">IF(AA$15="","",COUNTIF(U$6:U$10,U19)+1)</f>
        <v>2</v>
      </c>
      <c r="AC19" s="15">
        <v>3</v>
      </c>
      <c r="AD19" s="13" t="str">
        <f t="shared" si="34"/>
        <v>Parpol C</v>
      </c>
      <c r="AE19" s="14">
        <f t="shared" si="34"/>
        <v>687251</v>
      </c>
      <c r="AF19" s="18">
        <f ca="1">IF(AC17="","",VLOOKUP(AC19,Kursi,AC$15+2))</f>
        <v>1</v>
      </c>
      <c r="AG19" s="18">
        <f ca="1">VLOOKUP(AF19,Bagi,2)</f>
        <v>1</v>
      </c>
      <c r="AH19" s="14">
        <f t="shared" ca="1" si="37"/>
        <v>687251</v>
      </c>
      <c r="AI19" s="18">
        <f ca="1">RANK(AH19,AH$17:AH$21,0)</f>
        <v>1</v>
      </c>
      <c r="AK19" s="133">
        <f t="shared" si="35"/>
        <v>3</v>
      </c>
      <c r="AL19" s="3" t="str">
        <f t="shared" si="35"/>
        <v>Parpol C</v>
      </c>
      <c r="AM19" s="4">
        <f t="shared" si="35"/>
        <v>687251</v>
      </c>
      <c r="AN19" s="4">
        <f ca="1">IF(AK17="","",VLOOKUP(AK19,Kursi,AK$15+2))</f>
        <v>2</v>
      </c>
      <c r="AO19" s="4">
        <f ca="1">IF(AL17="","",VLOOKUP(AN19,Bagi,2))</f>
        <v>3</v>
      </c>
      <c r="AP19" s="4">
        <f t="shared" ca="1" si="38"/>
        <v>229083.66666666666</v>
      </c>
      <c r="AQ19" s="4">
        <f ca="1">IF(AO19="","",RANK(AP19,AP$17:AP$21,0))</f>
        <v>4</v>
      </c>
      <c r="AS19" s="133">
        <f t="shared" si="36"/>
        <v>3</v>
      </c>
      <c r="AT19" s="3" t="str">
        <f t="shared" si="36"/>
        <v>Parpol C</v>
      </c>
      <c r="AU19" s="4">
        <f t="shared" si="36"/>
        <v>687251</v>
      </c>
      <c r="AV19" s="17">
        <f ca="1">IF(AS17="","",VLOOKUP(AS19,Kursi,AS$15+2))</f>
        <v>2</v>
      </c>
      <c r="AW19" s="17">
        <f ca="1">IF(AT17="","",VLOOKUP(AV19,Bagi,2))</f>
        <v>3</v>
      </c>
      <c r="AX19" s="4">
        <f t="shared" ca="1" si="39"/>
        <v>229083.66666666666</v>
      </c>
      <c r="AY19" s="17">
        <f ca="1">IF(AW19="","",RANK(AX19,AX$17:AX$21,0))</f>
        <v>2</v>
      </c>
      <c r="BA19" s="128"/>
      <c r="BB19" s="129"/>
      <c r="BC19" s="125"/>
      <c r="BD19" s="123"/>
      <c r="BJ19" s="123"/>
      <c r="BK19" s="124"/>
      <c r="BL19" s="125"/>
      <c r="BM19" s="126"/>
      <c r="BN19" s="126"/>
      <c r="BO19" s="125"/>
      <c r="BP19" s="127"/>
      <c r="BU19" s="130"/>
      <c r="BV19" s="131"/>
      <c r="BW19" s="130"/>
      <c r="BX19" s="130"/>
      <c r="BY19" s="130"/>
      <c r="BZ19" s="130"/>
      <c r="CA19" s="130"/>
      <c r="CB19" s="130"/>
      <c r="CC19" s="130"/>
      <c r="CD19" s="130"/>
    </row>
    <row r="20" spans="2:82" x14ac:dyDescent="0.25">
      <c r="B20" s="119"/>
      <c r="C20" s="120" t="s">
        <v>53</v>
      </c>
      <c r="D20" s="117">
        <f>SUM(D5:D19)</f>
        <v>125582553</v>
      </c>
      <c r="E20" s="118">
        <f>SUM(E5:E19)</f>
        <v>0.99999999999999989</v>
      </c>
      <c r="F20" s="102"/>
      <c r="G20" s="102"/>
      <c r="H20" s="102"/>
      <c r="T20" s="146">
        <v>4</v>
      </c>
      <c r="U20" s="131" t="str">
        <f>P9</f>
        <v>Parpol D</v>
      </c>
      <c r="V20" s="130">
        <v>1</v>
      </c>
      <c r="W20" s="130">
        <f ca="1">COUNTIF(U$6:U$6,U20)+1</f>
        <v>1</v>
      </c>
      <c r="X20" s="130">
        <f ca="1">COUNTIF(U$6:U$7,U20)+1</f>
        <v>1</v>
      </c>
      <c r="Y20" s="130">
        <f ca="1">IF(Y$15="","",COUNTIF(U$6:U$8,U20)+1)</f>
        <v>1</v>
      </c>
      <c r="Z20" s="130">
        <f ca="1">IF(Z$15="","",COUNTIF(U$6:U$9,U20)+1)</f>
        <v>1</v>
      </c>
      <c r="AA20" s="147">
        <f ca="1">IF(AA$15="","",COUNTIF(U$6:U$10,U20)+1)</f>
        <v>1</v>
      </c>
      <c r="AC20" s="15">
        <v>4</v>
      </c>
      <c r="AD20" s="13" t="str">
        <f t="shared" si="34"/>
        <v>Parpol D</v>
      </c>
      <c r="AE20" s="14">
        <f t="shared" si="34"/>
        <v>261214</v>
      </c>
      <c r="AF20" s="18">
        <f ca="1">IF(AC18="","",VLOOKUP(AC20,Kursi,AC$15+2))</f>
        <v>1</v>
      </c>
      <c r="AG20" s="18">
        <f ca="1">VLOOKUP(AF20,Bagi,2)</f>
        <v>1</v>
      </c>
      <c r="AH20" s="14">
        <f t="shared" ca="1" si="37"/>
        <v>261214</v>
      </c>
      <c r="AI20" s="18">
        <f ca="1">RANK(AH20,AH$17:AH$21,0)</f>
        <v>5</v>
      </c>
      <c r="AK20" s="133">
        <f t="shared" si="35"/>
        <v>4</v>
      </c>
      <c r="AL20" s="3" t="str">
        <f t="shared" si="35"/>
        <v>Parpol D</v>
      </c>
      <c r="AM20" s="4">
        <f t="shared" si="35"/>
        <v>261214</v>
      </c>
      <c r="AN20" s="4">
        <f ca="1">IF(AK18="","",VLOOKUP(AK20,Kursi,AK$15+2))</f>
        <v>1</v>
      </c>
      <c r="AO20" s="4">
        <f ca="1">IF(AL18="","",VLOOKUP(AN20,Bagi,2))</f>
        <v>1</v>
      </c>
      <c r="AP20" s="4">
        <f t="shared" ca="1" si="38"/>
        <v>261214</v>
      </c>
      <c r="AQ20" s="4">
        <f ca="1">IF(AO20="","",RANK(AP20,AP$17:AP$21,0))</f>
        <v>3</v>
      </c>
      <c r="AS20" s="133">
        <f t="shared" si="36"/>
        <v>4</v>
      </c>
      <c r="AT20" s="3" t="str">
        <f t="shared" si="36"/>
        <v>Parpol D</v>
      </c>
      <c r="AU20" s="4">
        <f t="shared" si="36"/>
        <v>261214</v>
      </c>
      <c r="AV20" s="17">
        <f ca="1">IF(AS18="","",VLOOKUP(AS20,Kursi,AS$15+2))</f>
        <v>1</v>
      </c>
      <c r="AW20" s="17">
        <f ca="1">IF(AT18="","",VLOOKUP(AV20,Bagi,2))</f>
        <v>1</v>
      </c>
      <c r="AX20" s="4">
        <f t="shared" ca="1" si="39"/>
        <v>261214</v>
      </c>
      <c r="AY20" s="17">
        <f ca="1">IF(AW20="","",RANK(AX20,AX$17:AX$21,0))</f>
        <v>1</v>
      </c>
      <c r="BU20" s="130"/>
      <c r="BV20" s="131"/>
      <c r="BW20" s="130"/>
      <c r="BX20" s="130"/>
      <c r="BY20" s="130"/>
      <c r="BZ20" s="130"/>
      <c r="CA20" s="130"/>
      <c r="CB20" s="130"/>
      <c r="CC20" s="130"/>
      <c r="CD20" s="130"/>
    </row>
    <row r="21" spans="2:82" ht="15.75" thickBot="1" x14ac:dyDescent="0.3">
      <c r="B21" s="93" t="s">
        <v>52</v>
      </c>
      <c r="C21" s="94"/>
      <c r="D21" s="94"/>
      <c r="E21" s="101">
        <f>COUNTA(C5:C19)</f>
        <v>15</v>
      </c>
      <c r="F21" s="102"/>
      <c r="G21" s="102"/>
      <c r="H21" s="102"/>
      <c r="T21" s="148">
        <v>5</v>
      </c>
      <c r="U21" s="149" t="str">
        <f>P10</f>
        <v>Parpol E</v>
      </c>
      <c r="V21" s="150">
        <v>1</v>
      </c>
      <c r="W21" s="150">
        <f ca="1">COUNTIF(U$6:U$6,U21)+1</f>
        <v>1</v>
      </c>
      <c r="X21" s="150">
        <f ca="1">COUNTIF(U$6:U$7,U21)+1</f>
        <v>1</v>
      </c>
      <c r="Y21" s="150">
        <f ca="1">IF(Y$15="","",COUNTIF(U$6:U$8,U21)+1)</f>
        <v>1</v>
      </c>
      <c r="Z21" s="150">
        <f ca="1">IF(Z$15="","",COUNTIF(U$6:U$9,U21)+1)</f>
        <v>2</v>
      </c>
      <c r="AA21" s="151">
        <f ca="1">IF(AA$15="","",COUNTIF(U$6:U$10,U21)+1)</f>
        <v>2</v>
      </c>
      <c r="AC21" s="19">
        <v>5</v>
      </c>
      <c r="AD21" s="12" t="str">
        <f t="shared" si="34"/>
        <v>Parpol E</v>
      </c>
      <c r="AE21" s="14">
        <f t="shared" si="34"/>
        <v>311987</v>
      </c>
      <c r="AF21" s="21">
        <f ca="1">IF(AC19="","",VLOOKUP(AC21,Kursi,AC$15+2))</f>
        <v>1</v>
      </c>
      <c r="AG21" s="21">
        <f ca="1">VLOOKUP(AF21,Bagi,2)</f>
        <v>1</v>
      </c>
      <c r="AH21" s="20">
        <f t="shared" ca="1" si="37"/>
        <v>311987</v>
      </c>
      <c r="AI21" s="21">
        <f ca="1">RANK(AH21,AH$17:AH$21,0)</f>
        <v>3</v>
      </c>
      <c r="AK21" s="133">
        <f t="shared" si="35"/>
        <v>5</v>
      </c>
      <c r="AL21" s="3" t="str">
        <f t="shared" si="35"/>
        <v>Parpol E</v>
      </c>
      <c r="AM21" s="4">
        <f t="shared" si="35"/>
        <v>311987</v>
      </c>
      <c r="AN21" s="4">
        <f ca="1">IF(AK19="","",VLOOKUP(AK21,Kursi,AK$15+2))</f>
        <v>1</v>
      </c>
      <c r="AO21" s="4">
        <f ca="1">IF(AL19="","",VLOOKUP(AN21,Bagi,2))</f>
        <v>1</v>
      </c>
      <c r="AP21" s="4">
        <f t="shared" ca="1" si="38"/>
        <v>311987</v>
      </c>
      <c r="AQ21" s="4">
        <f ca="1">IF(AO21="","",RANK(AP21,AP$17:AP$21,0))</f>
        <v>1</v>
      </c>
      <c r="AS21" s="133">
        <f t="shared" si="36"/>
        <v>5</v>
      </c>
      <c r="AT21" s="3" t="str">
        <f t="shared" si="36"/>
        <v>Parpol E</v>
      </c>
      <c r="AU21" s="4">
        <f t="shared" si="36"/>
        <v>311987</v>
      </c>
      <c r="AV21" s="17">
        <f ca="1">IF(AS19="","",VLOOKUP(AS21,Kursi,AS$15+2))</f>
        <v>2</v>
      </c>
      <c r="AW21" s="17">
        <f ca="1">IF(AT19="","",VLOOKUP(AV21,Bagi,2))</f>
        <v>3</v>
      </c>
      <c r="AX21" s="4">
        <f t="shared" ca="1" si="39"/>
        <v>103995.66666666667</v>
      </c>
      <c r="AY21" s="17">
        <f ca="1">IF(AW21="","",RANK(AX21,AX$17:AX$21,0))</f>
        <v>5</v>
      </c>
      <c r="BU21" s="130"/>
      <c r="BV21" s="131"/>
      <c r="BW21" s="130"/>
      <c r="BX21" s="130"/>
      <c r="BY21" s="130"/>
      <c r="BZ21" s="130"/>
      <c r="CA21" s="130"/>
      <c r="CB21" s="130"/>
      <c r="CC21" s="130"/>
      <c r="CD21" s="130"/>
    </row>
    <row r="22" spans="2:82" x14ac:dyDescent="0.25">
      <c r="B22" s="93" t="s">
        <v>51</v>
      </c>
      <c r="C22" s="94"/>
      <c r="D22" s="94"/>
      <c r="E22" s="101">
        <f>COUNTIFS(G5:G19,"Lolos")</f>
        <v>7</v>
      </c>
      <c r="F22" s="102"/>
      <c r="G22" s="102"/>
      <c r="H22" s="102"/>
      <c r="AC22" s="173" t="s">
        <v>18</v>
      </c>
      <c r="AD22" s="174"/>
      <c r="AE22" s="14">
        <f>AE11</f>
        <v>2726774</v>
      </c>
      <c r="AF22" s="164">
        <f>AC15</f>
        <v>2</v>
      </c>
      <c r="AG22" s="165"/>
      <c r="AH22" s="166"/>
      <c r="AI22" s="24" t="str">
        <f ca="1">IF(AD16="","",OFFSET(AD16,MATCH(1,AI17:AI21,0),0))</f>
        <v>Parpol C</v>
      </c>
      <c r="AK22" s="154" t="str">
        <f>IF(AK15="","","Jumlah")</f>
        <v>Jumlah</v>
      </c>
      <c r="AL22" s="154"/>
      <c r="AM22" s="4">
        <f>IF($AK$15="","",AM11)</f>
        <v>2726774</v>
      </c>
      <c r="AN22" s="163">
        <f>AK15</f>
        <v>4</v>
      </c>
      <c r="AO22" s="163"/>
      <c r="AP22" s="163"/>
      <c r="AQ22" s="24" t="str">
        <f ca="1">IF(AL16="","",OFFSET(AL16,MATCH(1,AQ17:AQ21,0),0))</f>
        <v>Parpol E</v>
      </c>
      <c r="AS22" s="154" t="str">
        <f>IF(AS15="","","Jumlah")</f>
        <v>Jumlah</v>
      </c>
      <c r="AT22" s="154"/>
      <c r="AU22" s="4">
        <f>IF($AS$15="","",AU11)</f>
        <v>2726774</v>
      </c>
      <c r="AV22" s="162">
        <f>AS15</f>
        <v>6</v>
      </c>
      <c r="AW22" s="162"/>
      <c r="AX22" s="162"/>
      <c r="AY22" s="24" t="str">
        <f ca="1">IF(AT16="","",OFFSET(AT16,MATCH(1,AY17:AY21,0),0))</f>
        <v>Parpol D</v>
      </c>
    </row>
    <row r="23" spans="2:82" ht="19.5" customHeight="1" x14ac:dyDescent="0.25"/>
    <row r="24" spans="2:82" x14ac:dyDescent="0.25">
      <c r="E24" s="134"/>
      <c r="T24" s="154" t="s">
        <v>57</v>
      </c>
      <c r="U24" s="154"/>
      <c r="V24" s="154"/>
      <c r="W24" s="154"/>
      <c r="X24" s="154"/>
      <c r="Y24" s="154"/>
      <c r="Z24" s="154"/>
      <c r="AA24" s="154"/>
    </row>
    <row r="26" spans="2:82" ht="19.5" customHeight="1" x14ac:dyDescent="0.25"/>
    <row r="27" spans="2:82" ht="21" customHeight="1" x14ac:dyDescent="0.25"/>
  </sheetData>
  <mergeCells count="28">
    <mergeCell ref="BA3:BC3"/>
    <mergeCell ref="L10:M10"/>
    <mergeCell ref="T24:AA24"/>
    <mergeCell ref="V14:X14"/>
    <mergeCell ref="V16:X16"/>
    <mergeCell ref="AC4:AE4"/>
    <mergeCell ref="AC11:AD11"/>
    <mergeCell ref="AC15:AE15"/>
    <mergeCell ref="AK4:AM4"/>
    <mergeCell ref="AF11:AG11"/>
    <mergeCell ref="AS4:AU4"/>
    <mergeCell ref="AC22:AD22"/>
    <mergeCell ref="AS11:AT11"/>
    <mergeCell ref="AS22:AT22"/>
    <mergeCell ref="AK22:AL22"/>
    <mergeCell ref="AV22:AX22"/>
    <mergeCell ref="AV11:AX11"/>
    <mergeCell ref="AN22:AP22"/>
    <mergeCell ref="AN11:AP11"/>
    <mergeCell ref="AF22:AH22"/>
    <mergeCell ref="AK15:AM15"/>
    <mergeCell ref="AS15:AU15"/>
    <mergeCell ref="BU18:CD18"/>
    <mergeCell ref="BW5:CD5"/>
    <mergeCell ref="BW7:CD7"/>
    <mergeCell ref="BM14:BO14"/>
    <mergeCell ref="BJ14:BK14"/>
    <mergeCell ref="BR16:BS16"/>
  </mergeCells>
  <conditionalFormatting sqref="Y16:AA16 Y14:AA14">
    <cfRule type="notContainsBlanks" dxfId="21" priority="18">
      <formula>LEN(TRIM(Y14))&gt;0</formula>
    </cfRule>
  </conditionalFormatting>
  <conditionalFormatting sqref="Y15:AA15">
    <cfRule type="notContainsBlanks" dxfId="20" priority="19">
      <formula>LEN(TRIM(Y15))&gt;0</formula>
    </cfRule>
  </conditionalFormatting>
  <conditionalFormatting sqref="T17:AA21">
    <cfRule type="notContainsBlanks" dxfId="19" priority="17">
      <formula>LEN(TRIM(T17))&gt;0</formula>
    </cfRule>
  </conditionalFormatting>
  <conditionalFormatting sqref="T6:U11">
    <cfRule type="notContainsBlanks" dxfId="18" priority="16">
      <formula>LEN(TRIM(T6))&gt;0</formula>
    </cfRule>
  </conditionalFormatting>
  <conditionalFormatting sqref="AS5:AY5 AS16:AY16 AK16:AQ16">
    <cfRule type="notContainsBlanks" dxfId="17" priority="15">
      <formula>LEN(TRIM(AK5))&gt;0</formula>
    </cfRule>
  </conditionalFormatting>
  <conditionalFormatting sqref="AL16:AP16 AT5:AX5 AT16:AX16">
    <cfRule type="notContainsBlanks" dxfId="16" priority="13">
      <formula>LEN(TRIM(AL5))&gt;0</formula>
    </cfRule>
  </conditionalFormatting>
  <conditionalFormatting sqref="AS6:AY10 AS17:AY21 AK17:AQ21">
    <cfRule type="notContainsBlanks" dxfId="15" priority="12">
      <formula>LEN(TRIM(AK6))&gt;0</formula>
    </cfRule>
  </conditionalFormatting>
  <conditionalFormatting sqref="AS17:AY22 AS6:AY11 AK17:AQ22 AK6:AQ11">
    <cfRule type="notContainsBlanks" dxfId="14" priority="11">
      <formula>LEN(TRIM(AK6))&gt;0</formula>
    </cfRule>
  </conditionalFormatting>
  <conditionalFormatting sqref="AI22">
    <cfRule type="notContainsBlanks" dxfId="13" priority="10">
      <formula>LEN(TRIM(AI22))&gt;0</formula>
    </cfRule>
  </conditionalFormatting>
  <conditionalFormatting sqref="AH11">
    <cfRule type="notContainsBlanks" dxfId="12" priority="9">
      <formula>LEN(TRIM(AH11))&gt;0</formula>
    </cfRule>
  </conditionalFormatting>
  <conditionalFormatting sqref="BF6:BG8 BF9:BF14 BG9:BG13">
    <cfRule type="notContainsBlanks" dxfId="11" priority="8">
      <formula>LEN(TRIM(BF6))&gt;0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Scroll Bar 1">
              <controlPr defaultSize="0" autoPict="0">
                <anchor moveWithCells="1">
                  <from>
                    <xdr:col>15</xdr:col>
                    <xdr:colOff>600075</xdr:colOff>
                    <xdr:row>3</xdr:row>
                    <xdr:rowOff>28575</xdr:rowOff>
                  </from>
                  <to>
                    <xdr:col>16</xdr:col>
                    <xdr:colOff>228600</xdr:colOff>
                    <xdr:row>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4" name="Scroll Bar 4">
              <controlPr defaultSize="0" autoPict="0">
                <anchor moveWithCells="1">
                  <from>
                    <xdr:col>63</xdr:col>
                    <xdr:colOff>142875</xdr:colOff>
                    <xdr:row>3</xdr:row>
                    <xdr:rowOff>19050</xdr:rowOff>
                  </from>
                  <to>
                    <xdr:col>63</xdr:col>
                    <xdr:colOff>628650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1" r:id="rId5" name="Scroll Bar 83">
              <controlPr defaultSize="0" autoPict="0">
                <anchor moveWithCells="1">
                  <from>
                    <xdr:col>3</xdr:col>
                    <xdr:colOff>228600</xdr:colOff>
                    <xdr:row>2</xdr:row>
                    <xdr:rowOff>19050</xdr:rowOff>
                  </from>
                  <to>
                    <xdr:col>3</xdr:col>
                    <xdr:colOff>714375</xdr:colOff>
                    <xdr:row>2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D27"/>
  <sheetViews>
    <sheetView showGridLines="0" topLeftCell="AG1" zoomScaleNormal="100" workbookViewId="0">
      <selection activeCell="BG6" sqref="BG6:BG13"/>
    </sheetView>
  </sheetViews>
  <sheetFormatPr defaultRowHeight="15" x14ac:dyDescent="0.25"/>
  <cols>
    <col min="1" max="2" width="5.85546875" style="1" customWidth="1"/>
    <col min="3" max="3" width="19.28515625" style="1" customWidth="1"/>
    <col min="4" max="4" width="12.28515625" style="1" customWidth="1"/>
    <col min="5" max="5" width="13.85546875" style="1" customWidth="1"/>
    <col min="6" max="6" width="11.5703125" style="1" customWidth="1"/>
    <col min="7" max="7" width="13.85546875" style="1" customWidth="1"/>
    <col min="8" max="8" width="13.5703125" style="1" customWidth="1"/>
    <col min="9" max="9" width="5.85546875" style="1" customWidth="1"/>
    <col min="10" max="10" width="109.28515625" style="1" customWidth="1"/>
    <col min="11" max="11" width="5.85546875" style="1" customWidth="1"/>
    <col min="12" max="12" width="9.140625" style="1"/>
    <col min="13" max="13" width="10.140625" style="1" customWidth="1"/>
    <col min="14" max="14" width="6" style="1" customWidth="1"/>
    <col min="15" max="15" width="9.5703125" style="1" customWidth="1"/>
    <col min="16" max="16" width="12.85546875" style="1" customWidth="1"/>
    <col min="17" max="17" width="11.28515625" style="1" customWidth="1"/>
    <col min="18" max="18" width="8.85546875" style="1" customWidth="1"/>
    <col min="19" max="19" width="4.85546875" style="1" customWidth="1"/>
    <col min="20" max="20" width="7.140625" style="1" customWidth="1"/>
    <col min="21" max="21" width="12" style="1" customWidth="1"/>
    <col min="22" max="27" width="6.28515625" style="1" customWidth="1"/>
    <col min="28" max="28" width="5.85546875" style="1" customWidth="1"/>
    <col min="29" max="29" width="8.5703125" style="1" customWidth="1"/>
    <col min="30" max="30" width="11" style="1" customWidth="1"/>
    <col min="31" max="31" width="10.85546875" style="1" customWidth="1"/>
    <col min="32" max="32" width="10.7109375" style="1" customWidth="1"/>
    <col min="33" max="33" width="10.85546875" style="1" customWidth="1"/>
    <col min="34" max="34" width="9.85546875" style="1" customWidth="1"/>
    <col min="35" max="35" width="10.28515625" style="1" customWidth="1"/>
    <col min="36" max="36" width="5.85546875" style="1" customWidth="1"/>
    <col min="37" max="37" width="8.5703125" style="1" customWidth="1"/>
    <col min="38" max="38" width="11.5703125" style="1" customWidth="1"/>
    <col min="39" max="39" width="10.85546875" style="1" customWidth="1"/>
    <col min="40" max="41" width="9.140625" style="1"/>
    <col min="42" max="42" width="10.85546875" style="1" customWidth="1"/>
    <col min="43" max="43" width="9.85546875" style="1" customWidth="1"/>
    <col min="44" max="44" width="5.85546875" style="1" customWidth="1"/>
    <col min="45" max="45" width="8.5703125" style="1" customWidth="1"/>
    <col min="46" max="46" width="11.5703125" style="1" customWidth="1"/>
    <col min="47" max="47" width="10.85546875" style="1" customWidth="1"/>
    <col min="48" max="49" width="9.140625" style="1"/>
    <col min="50" max="50" width="10.85546875" style="1" customWidth="1"/>
    <col min="51" max="51" width="9.7109375" style="1" customWidth="1"/>
    <col min="52" max="53" width="5.85546875" style="1" customWidth="1"/>
    <col min="54" max="54" width="11.140625" style="1" customWidth="1"/>
    <col min="55" max="55" width="11.7109375" style="1" customWidth="1"/>
    <col min="56" max="56" width="9.140625" style="1"/>
    <col min="57" max="57" width="4.85546875" style="1" customWidth="1"/>
    <col min="58" max="58" width="9.140625" style="1"/>
    <col min="59" max="59" width="11.85546875" style="1" customWidth="1"/>
    <col min="60" max="61" width="5.85546875" style="1" customWidth="1"/>
    <col min="62" max="62" width="6.5703125" style="1" customWidth="1"/>
    <col min="63" max="63" width="11.5703125" style="1" customWidth="1"/>
    <col min="64" max="64" width="11.140625" style="1" customWidth="1"/>
    <col min="65" max="66" width="9.140625" style="1"/>
    <col min="67" max="67" width="10.5703125" style="1" customWidth="1"/>
    <col min="68" max="68" width="10.140625" style="1" customWidth="1"/>
    <col min="69" max="69" width="5.85546875" style="1" customWidth="1"/>
    <col min="70" max="71" width="9.140625" style="1"/>
    <col min="72" max="72" width="4.42578125" style="1" customWidth="1"/>
    <col min="73" max="73" width="9.140625" style="1"/>
    <col min="74" max="74" width="11.140625" style="1" customWidth="1"/>
    <col min="75" max="82" width="9.140625" style="1"/>
    <col min="83" max="83" width="5.85546875" style="1" customWidth="1"/>
    <col min="84" max="16384" width="9.140625" style="1"/>
  </cols>
  <sheetData>
    <row r="1" spans="1:82" ht="19.5" customHeight="1" x14ac:dyDescent="0.25"/>
    <row r="2" spans="1:82" ht="18.75" x14ac:dyDescent="0.25">
      <c r="B2" s="2" t="s">
        <v>54</v>
      </c>
      <c r="L2" s="2" t="s">
        <v>8</v>
      </c>
    </row>
    <row r="3" spans="1:82" ht="17.25" customHeight="1" thickBot="1" x14ac:dyDescent="0.3">
      <c r="A3" s="122">
        <v>400</v>
      </c>
      <c r="B3" s="91" t="s">
        <v>46</v>
      </c>
      <c r="C3" s="92"/>
      <c r="D3" s="92"/>
      <c r="E3" s="121">
        <f>A3/10000</f>
        <v>0.04</v>
      </c>
      <c r="F3" s="41"/>
      <c r="G3" s="41"/>
      <c r="H3" s="41"/>
      <c r="L3" s="9" t="s">
        <v>11</v>
      </c>
      <c r="M3" s="135" t="s">
        <v>1</v>
      </c>
      <c r="O3" s="38" t="s">
        <v>2</v>
      </c>
      <c r="BA3" s="168" t="s">
        <v>24</v>
      </c>
      <c r="BB3" s="168"/>
      <c r="BC3" s="169"/>
      <c r="BD3" s="152">
        <v>8</v>
      </c>
      <c r="BJ3" s="38" t="str">
        <f>"PERHITUNGAN "&amp;UPPER(BA3)</f>
        <v>PERHITUNGAN KURSI DAERAH PEMILIHAN  XX</v>
      </c>
    </row>
    <row r="4" spans="1:82" ht="16.5" customHeight="1" x14ac:dyDescent="0.25">
      <c r="B4" s="99" t="s">
        <v>14</v>
      </c>
      <c r="C4" s="100" t="s">
        <v>9</v>
      </c>
      <c r="D4" s="100" t="s">
        <v>47</v>
      </c>
      <c r="E4" s="100" t="s">
        <v>48</v>
      </c>
      <c r="F4" s="100" t="s">
        <v>12</v>
      </c>
      <c r="G4" s="100" t="s">
        <v>49</v>
      </c>
      <c r="H4" s="99" t="s">
        <v>50</v>
      </c>
      <c r="I4" s="122" t="s">
        <v>55</v>
      </c>
      <c r="L4" s="136">
        <v>1</v>
      </c>
      <c r="M4" s="137">
        <v>1</v>
      </c>
      <c r="O4" s="70" t="s">
        <v>30</v>
      </c>
      <c r="P4" s="71"/>
      <c r="Q4" s="72">
        <v>6</v>
      </c>
      <c r="R4" s="74"/>
      <c r="T4" s="38" t="s">
        <v>13</v>
      </c>
      <c r="AC4" s="167">
        <v>1</v>
      </c>
      <c r="AD4" s="167"/>
      <c r="AE4" s="167"/>
      <c r="AK4" s="167">
        <v>3</v>
      </c>
      <c r="AL4" s="167"/>
      <c r="AM4" s="167"/>
      <c r="AS4" s="167">
        <f>IF($Q4&gt;AK15,AK15+1,"")</f>
        <v>5</v>
      </c>
      <c r="AT4" s="167"/>
      <c r="AU4" s="167"/>
      <c r="BA4" s="1" t="s">
        <v>23</v>
      </c>
      <c r="BF4" s="1" t="s">
        <v>13</v>
      </c>
      <c r="BJ4" s="39" t="s">
        <v>25</v>
      </c>
      <c r="BK4" s="40"/>
      <c r="BL4" s="40"/>
      <c r="BM4" s="44">
        <v>1</v>
      </c>
      <c r="BN4" s="41"/>
      <c r="BO4" s="41"/>
      <c r="BP4" s="41"/>
      <c r="BR4" s="38" t="s">
        <v>1</v>
      </c>
      <c r="BU4" s="38" t="s">
        <v>13</v>
      </c>
    </row>
    <row r="5" spans="1:82" ht="15.75" thickBot="1" x14ac:dyDescent="0.3">
      <c r="B5" s="103">
        <v>1</v>
      </c>
      <c r="C5" s="104" t="s">
        <v>31</v>
      </c>
      <c r="D5" s="105">
        <v>4032568</v>
      </c>
      <c r="E5" s="106">
        <f>D5/D$20</f>
        <v>3.2110893620708604E-2</v>
      </c>
      <c r="F5" s="107"/>
      <c r="G5" s="104"/>
      <c r="H5" s="108"/>
      <c r="I5" s="132">
        <f>E$3</f>
        <v>0.04</v>
      </c>
      <c r="L5" s="138">
        <v>2</v>
      </c>
      <c r="M5" s="139">
        <v>3</v>
      </c>
      <c r="O5" s="6" t="s">
        <v>16</v>
      </c>
      <c r="P5" s="75" t="s">
        <v>9</v>
      </c>
      <c r="Q5" s="73" t="s">
        <v>0</v>
      </c>
      <c r="R5" s="6" t="s">
        <v>17</v>
      </c>
      <c r="T5" s="9" t="s">
        <v>14</v>
      </c>
      <c r="U5" s="6" t="s">
        <v>9</v>
      </c>
      <c r="AC5" s="6" t="s">
        <v>16</v>
      </c>
      <c r="AD5" s="16" t="s">
        <v>9</v>
      </c>
      <c r="AE5" s="16" t="s">
        <v>0</v>
      </c>
      <c r="AF5" s="16" t="s">
        <v>1</v>
      </c>
      <c r="AG5" s="16" t="s">
        <v>10</v>
      </c>
      <c r="AH5" s="6" t="s">
        <v>12</v>
      </c>
      <c r="AK5" s="6" t="s">
        <v>16</v>
      </c>
      <c r="AL5" s="16" t="s">
        <v>9</v>
      </c>
      <c r="AM5" s="16" t="s">
        <v>0</v>
      </c>
      <c r="AN5" s="16" t="s">
        <v>11</v>
      </c>
      <c r="AO5" s="16" t="s">
        <v>1</v>
      </c>
      <c r="AP5" s="16" t="s">
        <v>10</v>
      </c>
      <c r="AQ5" s="6" t="s">
        <v>12</v>
      </c>
      <c r="AS5" s="153" t="str">
        <f t="shared" ref="AS5:AY10" si="0">IF($AS$4="","",AK16)</f>
        <v>No Urut</v>
      </c>
      <c r="AT5" s="153" t="str">
        <f t="shared" si="0"/>
        <v>Partai</v>
      </c>
      <c r="AU5" s="153" t="str">
        <f t="shared" si="0"/>
        <v>Suara</v>
      </c>
      <c r="AV5" s="153" t="str">
        <f t="shared" si="0"/>
        <v>Kursi ke-</v>
      </c>
      <c r="AW5" s="153" t="str">
        <f t="shared" si="0"/>
        <v>Pembagi</v>
      </c>
      <c r="AX5" s="153" t="str">
        <f t="shared" si="0"/>
        <v>Hasil</v>
      </c>
      <c r="AY5" s="153" t="str">
        <f t="shared" si="0"/>
        <v>Peringkat</v>
      </c>
      <c r="BA5" s="25" t="s">
        <v>14</v>
      </c>
      <c r="BB5" s="28" t="s">
        <v>9</v>
      </c>
      <c r="BC5" s="28" t="s">
        <v>0</v>
      </c>
      <c r="BD5" s="25" t="s">
        <v>17</v>
      </c>
      <c r="BF5" s="33" t="s">
        <v>14</v>
      </c>
      <c r="BG5" s="34" t="s">
        <v>9</v>
      </c>
      <c r="BJ5" s="25" t="str">
        <f t="shared" ref="BJ5:BJ13" si="1">IF($AS$4="","",BA5)</f>
        <v>No</v>
      </c>
      <c r="BK5" s="42" t="s">
        <v>9</v>
      </c>
      <c r="BL5" s="42" t="s">
        <v>0</v>
      </c>
      <c r="BM5" s="42" t="s">
        <v>11</v>
      </c>
      <c r="BN5" s="42" t="s">
        <v>1</v>
      </c>
      <c r="BO5" s="42" t="s">
        <v>10</v>
      </c>
      <c r="BP5" s="25" t="s">
        <v>12</v>
      </c>
      <c r="BR5" s="51" t="s">
        <v>11</v>
      </c>
      <c r="BS5" s="50" t="s">
        <v>1</v>
      </c>
      <c r="BU5" s="25"/>
      <c r="BV5" s="28"/>
      <c r="BW5" s="155" t="s">
        <v>19</v>
      </c>
      <c r="BX5" s="156"/>
      <c r="BY5" s="156"/>
      <c r="BZ5" s="156"/>
      <c r="CA5" s="156"/>
      <c r="CB5" s="156"/>
      <c r="CC5" s="156"/>
      <c r="CD5" s="156"/>
    </row>
    <row r="6" spans="1:82" x14ac:dyDescent="0.25">
      <c r="B6" s="109">
        <v>2</v>
      </c>
      <c r="C6" s="95" t="s">
        <v>32</v>
      </c>
      <c r="D6" s="96">
        <v>9574981</v>
      </c>
      <c r="E6" s="97">
        <f t="shared" ref="E6:E19" si="2">D6/D$20</f>
        <v>7.6244516226708664E-2</v>
      </c>
      <c r="F6" s="98"/>
      <c r="G6" s="95"/>
      <c r="H6" s="110"/>
      <c r="I6" s="132">
        <f t="shared" ref="I6:I19" si="3">E$3</f>
        <v>0.04</v>
      </c>
      <c r="L6" s="138">
        <v>3</v>
      </c>
      <c r="M6" s="139">
        <v>5</v>
      </c>
      <c r="O6" s="79">
        <v>1</v>
      </c>
      <c r="P6" s="80" t="s">
        <v>3</v>
      </c>
      <c r="Q6" s="81">
        <v>548221</v>
      </c>
      <c r="R6" s="86">
        <f>COUNTIF(U$6:U$11,P6)</f>
        <v>0</v>
      </c>
      <c r="T6" s="153">
        <v>1</v>
      </c>
      <c r="U6" s="3">
        <f>AH11</f>
        <v>0</v>
      </c>
      <c r="AC6" s="15">
        <v>1</v>
      </c>
      <c r="AD6" s="13" t="str">
        <f t="shared" ref="AD6:AE10" si="4">P6</f>
        <v>Parpol A</v>
      </c>
      <c r="AE6" s="14">
        <f t="shared" si="4"/>
        <v>548221</v>
      </c>
      <c r="AF6" s="18">
        <f>IF(AC6="","",VLOOKUP(AC6,Kursi,AC$4+2))</f>
        <v>1</v>
      </c>
      <c r="AG6" s="14">
        <f>AE6/AF6</f>
        <v>548221</v>
      </c>
      <c r="AH6" s="18">
        <f>RANK(AG6,AG$6:AG$10,0)</f>
        <v>3</v>
      </c>
      <c r="AK6" s="15">
        <v>1</v>
      </c>
      <c r="AL6" s="13" t="str">
        <f t="shared" ref="AL6:AM10" si="5">AD17</f>
        <v>Parpol A</v>
      </c>
      <c r="AM6" s="14">
        <f t="shared" si="5"/>
        <v>548221</v>
      </c>
      <c r="AN6" s="18">
        <f>IF(AK4="","",VLOOKUP(AK6,Kursi,AK$4+2))</f>
        <v>1</v>
      </c>
      <c r="AO6" s="18">
        <f>VLOOKUP(AN6,Bagi,2)</f>
        <v>1</v>
      </c>
      <c r="AP6" s="14">
        <f t="shared" ref="AP6:AP10" si="6">AM6/AO6</f>
        <v>548221</v>
      </c>
      <c r="AQ6" s="18">
        <f t="shared" ref="AQ6:AQ10" si="7">RANK(AP6,AP$6:AP$10,0)</f>
        <v>3</v>
      </c>
      <c r="AS6" s="153">
        <f t="shared" si="0"/>
        <v>1</v>
      </c>
      <c r="AT6" s="3" t="str">
        <f t="shared" si="0"/>
        <v>Parpol A</v>
      </c>
      <c r="AU6" s="4">
        <f t="shared" si="0"/>
        <v>548221</v>
      </c>
      <c r="AV6" s="17">
        <f>IF(AS4="","",VLOOKUP(AS6,Kursi,AS$4+2))</f>
        <v>1</v>
      </c>
      <c r="AW6" s="17">
        <f>IF(AS4="","",VLOOKUP(AV6,Bagi,2))</f>
        <v>1</v>
      </c>
      <c r="AX6" s="4">
        <f>IF(AW6="","",AU6/AW6)</f>
        <v>548221</v>
      </c>
      <c r="AY6" s="17">
        <f>IF(AW6="","",RANK(AX6,AX$6:AX$10,0))</f>
        <v>3</v>
      </c>
      <c r="BA6" s="26">
        <v>1</v>
      </c>
      <c r="BB6" s="29" t="s">
        <v>3</v>
      </c>
      <c r="BC6" s="31">
        <v>471582</v>
      </c>
      <c r="BD6" s="37">
        <f t="shared" ref="BD6:BD13" si="8">COUNTIF(BG$6:BG$13,BB6)</f>
        <v>0</v>
      </c>
      <c r="BF6" s="153">
        <v>1</v>
      </c>
      <c r="BG6" s="3"/>
      <c r="BJ6" s="45">
        <f t="shared" si="1"/>
        <v>1</v>
      </c>
      <c r="BK6" s="46" t="str">
        <f>BB6</f>
        <v>Parpol A</v>
      </c>
      <c r="BL6" s="47">
        <f>BC6</f>
        <v>471582</v>
      </c>
      <c r="BM6" s="48">
        <f t="shared" ref="BM6:BM13" si="9">VLOOKUP(BJ6,Kursi2,BM$4+2)</f>
        <v>1</v>
      </c>
      <c r="BN6" s="48">
        <f t="shared" ref="BN6:BN13" si="10">VLOOKUP(BM6,Bagi2,2)</f>
        <v>1</v>
      </c>
      <c r="BO6" s="47">
        <f>BL6/BN6</f>
        <v>471582</v>
      </c>
      <c r="BP6" s="49">
        <f>RANK(BO6,BO$6:BO$19,0)</f>
        <v>3</v>
      </c>
      <c r="BR6" s="55">
        <v>1</v>
      </c>
      <c r="BS6" s="52">
        <v>1</v>
      </c>
      <c r="BU6" s="25" t="s">
        <v>16</v>
      </c>
      <c r="BV6" s="28" t="s">
        <v>9</v>
      </c>
      <c r="BW6" s="35">
        <v>1</v>
      </c>
      <c r="BX6" s="35">
        <v>2</v>
      </c>
      <c r="BY6" s="35">
        <v>3</v>
      </c>
      <c r="BZ6" s="35">
        <v>4</v>
      </c>
      <c r="CA6" s="35">
        <v>5</v>
      </c>
      <c r="CB6" s="35">
        <v>6</v>
      </c>
      <c r="CC6" s="35">
        <v>7</v>
      </c>
      <c r="CD6" s="36">
        <v>8</v>
      </c>
    </row>
    <row r="7" spans="1:82" ht="15.75" thickBot="1" x14ac:dyDescent="0.3">
      <c r="B7" s="109">
        <v>3</v>
      </c>
      <c r="C7" s="95" t="s">
        <v>33</v>
      </c>
      <c r="D7" s="96">
        <v>8754911</v>
      </c>
      <c r="E7" s="97">
        <f t="shared" si="2"/>
        <v>6.9714389386557538E-2</v>
      </c>
      <c r="F7" s="98"/>
      <c r="G7" s="95"/>
      <c r="H7" s="110"/>
      <c r="I7" s="132">
        <f t="shared" si="3"/>
        <v>0.04</v>
      </c>
      <c r="L7" s="140">
        <v>4</v>
      </c>
      <c r="M7" s="141">
        <v>7</v>
      </c>
      <c r="O7" s="82">
        <v>2</v>
      </c>
      <c r="P7" s="76" t="s">
        <v>4</v>
      </c>
      <c r="Q7" s="77">
        <v>918101</v>
      </c>
      <c r="R7" s="87">
        <f t="shared" ref="R7:R10" si="11">COUNTIF(U$6:U$11,P7)</f>
        <v>0</v>
      </c>
      <c r="T7" s="153">
        <v>2</v>
      </c>
      <c r="U7" s="3">
        <f>AI22</f>
        <v>0</v>
      </c>
      <c r="AC7" s="15">
        <v>2</v>
      </c>
      <c r="AD7" s="13" t="str">
        <f t="shared" si="4"/>
        <v>Parpol B</v>
      </c>
      <c r="AE7" s="14">
        <f t="shared" si="4"/>
        <v>918101</v>
      </c>
      <c r="AF7" s="18">
        <f>IF(AC7="","",VLOOKUP(AC7,Kursi,AC$4+2))</f>
        <v>1</v>
      </c>
      <c r="AG7" s="14">
        <f t="shared" ref="AG7:AG10" si="12">AE7/AF7</f>
        <v>918101</v>
      </c>
      <c r="AH7" s="18">
        <f>RANK(AG7,AG$6:AG$10,0)</f>
        <v>1</v>
      </c>
      <c r="AK7" s="15">
        <v>2</v>
      </c>
      <c r="AL7" s="13" t="str">
        <f t="shared" si="5"/>
        <v>Parpol B</v>
      </c>
      <c r="AM7" s="14">
        <f t="shared" si="5"/>
        <v>918101</v>
      </c>
      <c r="AN7" s="18">
        <f>IF(AK5="","",VLOOKUP(AK7,Kursi,AK$4+2))</f>
        <v>1</v>
      </c>
      <c r="AO7" s="18">
        <f>VLOOKUP(AN7,Bagi,2)</f>
        <v>1</v>
      </c>
      <c r="AP7" s="14">
        <f t="shared" si="6"/>
        <v>918101</v>
      </c>
      <c r="AQ7" s="18">
        <f t="shared" si="7"/>
        <v>1</v>
      </c>
      <c r="AS7" s="153">
        <f t="shared" si="0"/>
        <v>2</v>
      </c>
      <c r="AT7" s="3" t="str">
        <f t="shared" si="0"/>
        <v>Parpol B</v>
      </c>
      <c r="AU7" s="4">
        <f t="shared" si="0"/>
        <v>918101</v>
      </c>
      <c r="AV7" s="17">
        <f>IF(AS5="","",VLOOKUP(AS7,Kursi,AS$4+2))</f>
        <v>1</v>
      </c>
      <c r="AW7" s="17">
        <f>IF(AT5="","",VLOOKUP(AV7,Bagi,2))</f>
        <v>1</v>
      </c>
      <c r="AX7" s="4">
        <f t="shared" ref="AX7:AX10" si="13">IF(AW7="","",AU7/AW7)</f>
        <v>918101</v>
      </c>
      <c r="AY7" s="17">
        <f t="shared" ref="AY7:AY10" si="14">IF(AW7="","",RANK(AX7,AX$6:AX$10,0))</f>
        <v>1</v>
      </c>
      <c r="BA7" s="26">
        <v>2</v>
      </c>
      <c r="BB7" s="30" t="s">
        <v>4</v>
      </c>
      <c r="BC7" s="31">
        <v>987542</v>
      </c>
      <c r="BD7" s="37">
        <f t="shared" si="8"/>
        <v>0</v>
      </c>
      <c r="BF7" s="153">
        <v>2</v>
      </c>
      <c r="BG7" s="3"/>
      <c r="BJ7" s="45">
        <f t="shared" si="1"/>
        <v>2</v>
      </c>
      <c r="BK7" s="46" t="str">
        <f t="shared" ref="BK7:BL13" si="15">BB7</f>
        <v>Parpol B</v>
      </c>
      <c r="BL7" s="47">
        <f t="shared" si="15"/>
        <v>987542</v>
      </c>
      <c r="BM7" s="48">
        <f t="shared" si="9"/>
        <v>1</v>
      </c>
      <c r="BN7" s="48">
        <f t="shared" si="10"/>
        <v>1</v>
      </c>
      <c r="BO7" s="47">
        <f t="shared" ref="BO7:BO13" si="16">BL7/BN7</f>
        <v>987542</v>
      </c>
      <c r="BP7" s="49">
        <f t="shared" ref="BP7:BP13" si="17">RANK(BO7,BO$6:BO$19,0)</f>
        <v>2</v>
      </c>
      <c r="BR7" s="56">
        <v>2</v>
      </c>
      <c r="BS7" s="53">
        <v>3</v>
      </c>
      <c r="BU7" s="25"/>
      <c r="BV7" s="28"/>
      <c r="BW7" s="157" t="s">
        <v>15</v>
      </c>
      <c r="BX7" s="158"/>
      <c r="BY7" s="158"/>
      <c r="BZ7" s="158"/>
      <c r="CA7" s="158"/>
      <c r="CB7" s="158"/>
      <c r="CC7" s="158"/>
      <c r="CD7" s="158"/>
    </row>
    <row r="8" spans="1:82" x14ac:dyDescent="0.25">
      <c r="B8" s="109">
        <v>4</v>
      </c>
      <c r="C8" s="95" t="s">
        <v>34</v>
      </c>
      <c r="D8" s="96">
        <v>6241578</v>
      </c>
      <c r="E8" s="97">
        <f t="shared" si="2"/>
        <v>4.9700996284093697E-2</v>
      </c>
      <c r="F8" s="98"/>
      <c r="G8" s="95"/>
      <c r="H8" s="110"/>
      <c r="I8" s="132">
        <f t="shared" si="3"/>
        <v>0.04</v>
      </c>
      <c r="O8" s="82">
        <v>3</v>
      </c>
      <c r="P8" s="76" t="s">
        <v>5</v>
      </c>
      <c r="Q8" s="77">
        <v>687251</v>
      </c>
      <c r="R8" s="87">
        <f t="shared" si="11"/>
        <v>0</v>
      </c>
      <c r="T8" s="153">
        <v>3</v>
      </c>
      <c r="U8" s="3">
        <f>AQ11</f>
        <v>0</v>
      </c>
      <c r="AC8" s="15">
        <v>3</v>
      </c>
      <c r="AD8" s="13" t="str">
        <f t="shared" si="4"/>
        <v>Parpol C</v>
      </c>
      <c r="AE8" s="14">
        <f t="shared" si="4"/>
        <v>687251</v>
      </c>
      <c r="AF8" s="18">
        <f>IF(AC8="","",VLOOKUP(AC8,Kursi,AC$4+2))</f>
        <v>1</v>
      </c>
      <c r="AG8" s="14">
        <f t="shared" si="12"/>
        <v>687251</v>
      </c>
      <c r="AH8" s="18">
        <f>RANK(AG8,AG$6:AG$10,0)</f>
        <v>2</v>
      </c>
      <c r="AK8" s="15">
        <v>3</v>
      </c>
      <c r="AL8" s="13" t="str">
        <f t="shared" si="5"/>
        <v>Parpol C</v>
      </c>
      <c r="AM8" s="14">
        <f t="shared" si="5"/>
        <v>687251</v>
      </c>
      <c r="AN8" s="18">
        <f>IF(AK6="","",VLOOKUP(AK8,Kursi,AK$4+2))</f>
        <v>1</v>
      </c>
      <c r="AO8" s="18">
        <f>VLOOKUP(AN8,Bagi,2)</f>
        <v>1</v>
      </c>
      <c r="AP8" s="14">
        <f t="shared" si="6"/>
        <v>687251</v>
      </c>
      <c r="AQ8" s="18">
        <f t="shared" si="7"/>
        <v>2</v>
      </c>
      <c r="AS8" s="153">
        <f t="shared" si="0"/>
        <v>3</v>
      </c>
      <c r="AT8" s="3" t="str">
        <f t="shared" si="0"/>
        <v>Parpol C</v>
      </c>
      <c r="AU8" s="4">
        <f t="shared" si="0"/>
        <v>687251</v>
      </c>
      <c r="AV8" s="17">
        <f>IF(AS6="","",VLOOKUP(AS8,Kursi,AS$4+2))</f>
        <v>1</v>
      </c>
      <c r="AW8" s="17">
        <f>IF(AT6="","",VLOOKUP(AV8,Bagi,2))</f>
        <v>1</v>
      </c>
      <c r="AX8" s="4">
        <f t="shared" si="13"/>
        <v>687251</v>
      </c>
      <c r="AY8" s="17">
        <f t="shared" si="14"/>
        <v>2</v>
      </c>
      <c r="BA8" s="26">
        <v>3</v>
      </c>
      <c r="BB8" s="29" t="s">
        <v>5</v>
      </c>
      <c r="BC8" s="31">
        <v>298774</v>
      </c>
      <c r="BD8" s="37">
        <f t="shared" si="8"/>
        <v>0</v>
      </c>
      <c r="BF8" s="153">
        <v>3</v>
      </c>
      <c r="BG8" s="3"/>
      <c r="BJ8" s="45">
        <f t="shared" si="1"/>
        <v>3</v>
      </c>
      <c r="BK8" s="46" t="str">
        <f t="shared" si="15"/>
        <v>Parpol C</v>
      </c>
      <c r="BL8" s="47">
        <f t="shared" si="15"/>
        <v>298774</v>
      </c>
      <c r="BM8" s="48">
        <f t="shared" si="9"/>
        <v>1</v>
      </c>
      <c r="BN8" s="48">
        <f t="shared" si="10"/>
        <v>1</v>
      </c>
      <c r="BO8" s="47">
        <f t="shared" si="16"/>
        <v>298774</v>
      </c>
      <c r="BP8" s="49">
        <f t="shared" si="17"/>
        <v>6</v>
      </c>
      <c r="BR8" s="56">
        <v>3</v>
      </c>
      <c r="BS8" s="53">
        <v>5</v>
      </c>
      <c r="BU8" s="58">
        <v>1</v>
      </c>
      <c r="BV8" s="59" t="str">
        <f>BK6</f>
        <v>Parpol A</v>
      </c>
      <c r="BW8" s="60">
        <v>1</v>
      </c>
      <c r="BX8" s="60">
        <f>COUNTIF(BG$6:BG$6,BV8)+1</f>
        <v>1</v>
      </c>
      <c r="BY8" s="60">
        <f>COUNTIF(BG$6:BG$7,BV8)+1</f>
        <v>1</v>
      </c>
      <c r="BZ8" s="60">
        <f>COUNTIF(BG$6:BG$8,BV8)+1</f>
        <v>1</v>
      </c>
      <c r="CA8" s="60">
        <f>COUNTIF(BG$6:BG$9,BV8)+1</f>
        <v>1</v>
      </c>
      <c r="CB8" s="60">
        <f>COUNTIF(BG$6:BG$10,BV8)+1</f>
        <v>1</v>
      </c>
      <c r="CC8" s="60">
        <f>COUNTIF(BG$6:BG$11,BV8)+1</f>
        <v>1</v>
      </c>
      <c r="CD8" s="61">
        <f>COUNTIF(BG$6:BG$12,BV8)+1</f>
        <v>1</v>
      </c>
    </row>
    <row r="9" spans="1:82" x14ac:dyDescent="0.25">
      <c r="B9" s="109">
        <v>5</v>
      </c>
      <c r="C9" s="95" t="s">
        <v>35</v>
      </c>
      <c r="D9" s="96">
        <v>2987541</v>
      </c>
      <c r="E9" s="97">
        <f t="shared" si="2"/>
        <v>2.3789459034170138E-2</v>
      </c>
      <c r="F9" s="98"/>
      <c r="G9" s="95"/>
      <c r="H9" s="110"/>
      <c r="I9" s="132">
        <f t="shared" si="3"/>
        <v>0.04</v>
      </c>
      <c r="O9" s="82">
        <v>4</v>
      </c>
      <c r="P9" s="76" t="s">
        <v>6</v>
      </c>
      <c r="Q9" s="77">
        <v>261214</v>
      </c>
      <c r="R9" s="87">
        <f t="shared" si="11"/>
        <v>0</v>
      </c>
      <c r="T9" s="153">
        <f>IF(Q$4&gt;T8,T8+1,"")</f>
        <v>4</v>
      </c>
      <c r="U9" s="3">
        <f>AQ22</f>
        <v>0</v>
      </c>
      <c r="AC9" s="15">
        <v>4</v>
      </c>
      <c r="AD9" s="13" t="str">
        <f t="shared" si="4"/>
        <v>Parpol D</v>
      </c>
      <c r="AE9" s="14">
        <f t="shared" si="4"/>
        <v>261214</v>
      </c>
      <c r="AF9" s="18">
        <f>IF(AC9="","",VLOOKUP(AC9,Kursi,AC$4+2))</f>
        <v>1</v>
      </c>
      <c r="AG9" s="14">
        <f t="shared" si="12"/>
        <v>261214</v>
      </c>
      <c r="AH9" s="18">
        <f>RANK(AG9,AG$6:AG$10,0)</f>
        <v>5</v>
      </c>
      <c r="AK9" s="15">
        <v>4</v>
      </c>
      <c r="AL9" s="13" t="str">
        <f t="shared" si="5"/>
        <v>Parpol D</v>
      </c>
      <c r="AM9" s="14">
        <f t="shared" si="5"/>
        <v>261214</v>
      </c>
      <c r="AN9" s="18">
        <f>IF(AK7="","",VLOOKUP(AK9,Kursi,AK$4+2))</f>
        <v>1</v>
      </c>
      <c r="AO9" s="18">
        <f>VLOOKUP(AN9,Bagi,2)</f>
        <v>1</v>
      </c>
      <c r="AP9" s="14">
        <f t="shared" si="6"/>
        <v>261214</v>
      </c>
      <c r="AQ9" s="18">
        <f t="shared" si="7"/>
        <v>5</v>
      </c>
      <c r="AS9" s="153">
        <f t="shared" si="0"/>
        <v>4</v>
      </c>
      <c r="AT9" s="3" t="str">
        <f t="shared" si="0"/>
        <v>Parpol D</v>
      </c>
      <c r="AU9" s="4">
        <f t="shared" si="0"/>
        <v>261214</v>
      </c>
      <c r="AV9" s="17">
        <f>IF(AS7="","",VLOOKUP(AS9,Kursi,AS$4+2))</f>
        <v>1</v>
      </c>
      <c r="AW9" s="17">
        <f>IF(AT7="","",VLOOKUP(AV9,Bagi,2))</f>
        <v>1</v>
      </c>
      <c r="AX9" s="4">
        <f t="shared" si="13"/>
        <v>261214</v>
      </c>
      <c r="AY9" s="17">
        <f t="shared" si="14"/>
        <v>5</v>
      </c>
      <c r="BA9" s="26">
        <v>4</v>
      </c>
      <c r="BB9" s="30" t="s">
        <v>6</v>
      </c>
      <c r="BC9" s="31">
        <v>298743</v>
      </c>
      <c r="BD9" s="37">
        <f t="shared" si="8"/>
        <v>0</v>
      </c>
      <c r="BF9" s="153">
        <v>4</v>
      </c>
      <c r="BG9" s="3"/>
      <c r="BJ9" s="45">
        <f t="shared" si="1"/>
        <v>4</v>
      </c>
      <c r="BK9" s="46" t="str">
        <f t="shared" si="15"/>
        <v>Parpol D</v>
      </c>
      <c r="BL9" s="47">
        <f t="shared" si="15"/>
        <v>298743</v>
      </c>
      <c r="BM9" s="48">
        <f t="shared" si="9"/>
        <v>1</v>
      </c>
      <c r="BN9" s="48">
        <f t="shared" si="10"/>
        <v>1</v>
      </c>
      <c r="BO9" s="47">
        <f t="shared" si="16"/>
        <v>298743</v>
      </c>
      <c r="BP9" s="49">
        <f t="shared" si="17"/>
        <v>7</v>
      </c>
      <c r="BR9" s="56">
        <v>4</v>
      </c>
      <c r="BS9" s="53">
        <v>7</v>
      </c>
      <c r="BU9" s="62">
        <v>2</v>
      </c>
      <c r="BV9" s="13" t="str">
        <f t="shared" ref="BV9:BV15" si="18">BK7</f>
        <v>Parpol B</v>
      </c>
      <c r="BW9" s="15">
        <v>1</v>
      </c>
      <c r="BX9" s="15">
        <f t="shared" ref="BX9:BX15" si="19">COUNTIF(BG$6:BG$6,BV9)+1</f>
        <v>1</v>
      </c>
      <c r="BY9" s="15">
        <f t="shared" ref="BY9:BY15" si="20">COUNTIF(BG$6:BG$7,BV9)+1</f>
        <v>1</v>
      </c>
      <c r="BZ9" s="15">
        <f t="shared" ref="BZ9:BZ15" si="21">COUNTIF(BG$6:BG$8,BV9)+1</f>
        <v>1</v>
      </c>
      <c r="CA9" s="15">
        <f t="shared" ref="CA9:CA15" si="22">COUNTIF(BG$6:BG$9,BV9)+1</f>
        <v>1</v>
      </c>
      <c r="CB9" s="15">
        <f t="shared" ref="CB9:CB15" si="23">COUNTIF(BG$6:BG$10,BV9)+1</f>
        <v>1</v>
      </c>
      <c r="CC9" s="15">
        <f t="shared" ref="CC9:CC15" si="24">COUNTIF(BG$6:BG$11,BV9)+1</f>
        <v>1</v>
      </c>
      <c r="CD9" s="63">
        <f t="shared" ref="CD9:CD15" si="25">COUNTIF(BG$6:BG$12,BV9)+1</f>
        <v>1</v>
      </c>
    </row>
    <row r="10" spans="1:82" x14ac:dyDescent="0.25">
      <c r="B10" s="109">
        <v>6</v>
      </c>
      <c r="C10" s="95" t="s">
        <v>36</v>
      </c>
      <c r="D10" s="96">
        <v>16698754</v>
      </c>
      <c r="E10" s="97">
        <f t="shared" si="2"/>
        <v>0.13297033386476861</v>
      </c>
      <c r="F10" s="98"/>
      <c r="G10" s="95"/>
      <c r="H10" s="110"/>
      <c r="I10" s="132">
        <f t="shared" si="3"/>
        <v>0.04</v>
      </c>
      <c r="L10" s="154" t="s">
        <v>56</v>
      </c>
      <c r="M10" s="154"/>
      <c r="O10" s="83">
        <v>5</v>
      </c>
      <c r="P10" s="84" t="s">
        <v>7</v>
      </c>
      <c r="Q10" s="85">
        <v>311987</v>
      </c>
      <c r="R10" s="88">
        <f t="shared" si="11"/>
        <v>0</v>
      </c>
      <c r="T10" s="153">
        <f>IF(Q$4&gt;T9,T9+1,"")</f>
        <v>5</v>
      </c>
      <c r="U10" s="3">
        <f>AY11</f>
        <v>0</v>
      </c>
      <c r="AC10" s="19">
        <v>5</v>
      </c>
      <c r="AD10" s="12" t="str">
        <f t="shared" si="4"/>
        <v>Parpol E</v>
      </c>
      <c r="AE10" s="20">
        <f t="shared" si="4"/>
        <v>311987</v>
      </c>
      <c r="AF10" s="21">
        <f>IF(AC10="","",VLOOKUP(AC10,Kursi,AC$4+2))</f>
        <v>1</v>
      </c>
      <c r="AG10" s="20">
        <f t="shared" si="12"/>
        <v>311987</v>
      </c>
      <c r="AH10" s="21">
        <f>RANK(AG10,AG$6:AG$10,0)</f>
        <v>4</v>
      </c>
      <c r="AK10" s="19">
        <v>5</v>
      </c>
      <c r="AL10" s="12" t="str">
        <f t="shared" si="5"/>
        <v>Parpol E</v>
      </c>
      <c r="AM10" s="20">
        <f t="shared" si="5"/>
        <v>311987</v>
      </c>
      <c r="AN10" s="18">
        <f>IF(AK8="","",VLOOKUP(AK10,Kursi,AK$4+2))</f>
        <v>1</v>
      </c>
      <c r="AO10" s="18">
        <f>VLOOKUP(AN10,Bagi,2)</f>
        <v>1</v>
      </c>
      <c r="AP10" s="14">
        <f t="shared" si="6"/>
        <v>311987</v>
      </c>
      <c r="AQ10" s="21">
        <f t="shared" si="7"/>
        <v>4</v>
      </c>
      <c r="AS10" s="153">
        <f t="shared" si="0"/>
        <v>5</v>
      </c>
      <c r="AT10" s="3" t="str">
        <f t="shared" si="0"/>
        <v>Parpol E</v>
      </c>
      <c r="AU10" s="4">
        <f t="shared" si="0"/>
        <v>311987</v>
      </c>
      <c r="AV10" s="17">
        <f>IF(AS8="","",VLOOKUP(AS10,Kursi,AS$4+2))</f>
        <v>1</v>
      </c>
      <c r="AW10" s="17">
        <f>IF(AT8="","",VLOOKUP(AV10,Bagi,2))</f>
        <v>1</v>
      </c>
      <c r="AX10" s="4">
        <f t="shared" si="13"/>
        <v>311987</v>
      </c>
      <c r="AY10" s="17">
        <f t="shared" si="14"/>
        <v>4</v>
      </c>
      <c r="BA10" s="26">
        <v>5</v>
      </c>
      <c r="BB10" s="29" t="s">
        <v>7</v>
      </c>
      <c r="BC10" s="31">
        <v>221360</v>
      </c>
      <c r="BD10" s="37">
        <f t="shared" si="8"/>
        <v>0</v>
      </c>
      <c r="BF10" s="153">
        <v>5</v>
      </c>
      <c r="BG10" s="3"/>
      <c r="BJ10" s="45">
        <f t="shared" si="1"/>
        <v>5</v>
      </c>
      <c r="BK10" s="46" t="str">
        <f t="shared" si="15"/>
        <v>Parpol E</v>
      </c>
      <c r="BL10" s="47">
        <f t="shared" si="15"/>
        <v>221360</v>
      </c>
      <c r="BM10" s="48">
        <f t="shared" si="9"/>
        <v>1</v>
      </c>
      <c r="BN10" s="48">
        <f t="shared" si="10"/>
        <v>1</v>
      </c>
      <c r="BO10" s="47">
        <f t="shared" si="16"/>
        <v>221360</v>
      </c>
      <c r="BP10" s="49">
        <f t="shared" si="17"/>
        <v>8</v>
      </c>
      <c r="BR10" s="56">
        <v>5</v>
      </c>
      <c r="BS10" s="53">
        <v>9</v>
      </c>
      <c r="BU10" s="62">
        <v>3</v>
      </c>
      <c r="BV10" s="13" t="str">
        <f t="shared" si="18"/>
        <v>Parpol C</v>
      </c>
      <c r="BW10" s="15">
        <v>1</v>
      </c>
      <c r="BX10" s="15">
        <f t="shared" si="19"/>
        <v>1</v>
      </c>
      <c r="BY10" s="15">
        <f t="shared" si="20"/>
        <v>1</v>
      </c>
      <c r="BZ10" s="15">
        <f t="shared" si="21"/>
        <v>1</v>
      </c>
      <c r="CA10" s="15">
        <f t="shared" si="22"/>
        <v>1</v>
      </c>
      <c r="CB10" s="15">
        <f t="shared" si="23"/>
        <v>1</v>
      </c>
      <c r="CC10" s="15">
        <f t="shared" si="24"/>
        <v>1</v>
      </c>
      <c r="CD10" s="63">
        <f t="shared" si="25"/>
        <v>1</v>
      </c>
    </row>
    <row r="11" spans="1:82" x14ac:dyDescent="0.25">
      <c r="B11" s="109">
        <v>7</v>
      </c>
      <c r="C11" s="95" t="s">
        <v>37</v>
      </c>
      <c r="D11" s="96">
        <v>1687970</v>
      </c>
      <c r="E11" s="97">
        <f t="shared" si="2"/>
        <v>1.3441118687880154E-2</v>
      </c>
      <c r="F11" s="98"/>
      <c r="G11" s="95"/>
      <c r="H11" s="110"/>
      <c r="I11" s="132">
        <f t="shared" si="3"/>
        <v>0.04</v>
      </c>
      <c r="O11" s="69"/>
      <c r="P11" s="90" t="s">
        <v>18</v>
      </c>
      <c r="Q11" s="78">
        <f>SUM(Q6:Q10)</f>
        <v>2726774</v>
      </c>
      <c r="R11" s="89">
        <f>SUM(R6:R10)</f>
        <v>0</v>
      </c>
      <c r="T11" s="153">
        <f>IF(Q$4&gt;T10,T10+1,"")</f>
        <v>6</v>
      </c>
      <c r="U11" s="3">
        <f>AY22</f>
        <v>0</v>
      </c>
      <c r="AC11" s="173" t="s">
        <v>18</v>
      </c>
      <c r="AD11" s="174"/>
      <c r="AE11" s="14">
        <f>SUM(AE6:AE10)</f>
        <v>2726774</v>
      </c>
      <c r="AF11" s="175">
        <f>AC4</f>
        <v>1</v>
      </c>
      <c r="AG11" s="176"/>
      <c r="AH11" s="24"/>
      <c r="AK11" s="23"/>
      <c r="AL11" s="22"/>
      <c r="AM11" s="18">
        <f>AE22</f>
        <v>2726774</v>
      </c>
      <c r="AN11" s="164">
        <f>AK4</f>
        <v>3</v>
      </c>
      <c r="AO11" s="165"/>
      <c r="AP11" s="166"/>
      <c r="AQ11" s="24"/>
      <c r="AS11" s="154" t="str">
        <f>IF(AS4="","","Jumlah")</f>
        <v>Jumlah</v>
      </c>
      <c r="AT11" s="154"/>
      <c r="AU11" s="4">
        <f>IF($AS$4="","",AM22)</f>
        <v>2726774</v>
      </c>
      <c r="AV11" s="162">
        <f>AS4</f>
        <v>5</v>
      </c>
      <c r="AW11" s="162"/>
      <c r="AX11" s="162"/>
      <c r="AY11" s="24"/>
      <c r="BA11" s="26">
        <v>6</v>
      </c>
      <c r="BB11" s="30" t="s">
        <v>20</v>
      </c>
      <c r="BC11" s="31">
        <v>418978</v>
      </c>
      <c r="BD11" s="37">
        <f t="shared" si="8"/>
        <v>0</v>
      </c>
      <c r="BF11" s="153">
        <v>6</v>
      </c>
      <c r="BG11" s="3"/>
      <c r="BJ11" s="45">
        <f t="shared" si="1"/>
        <v>6</v>
      </c>
      <c r="BK11" s="46" t="str">
        <f t="shared" si="15"/>
        <v>Parpol F</v>
      </c>
      <c r="BL11" s="47">
        <f t="shared" si="15"/>
        <v>418978</v>
      </c>
      <c r="BM11" s="48">
        <f t="shared" si="9"/>
        <v>1</v>
      </c>
      <c r="BN11" s="48">
        <f t="shared" si="10"/>
        <v>1</v>
      </c>
      <c r="BO11" s="47">
        <f t="shared" si="16"/>
        <v>418978</v>
      </c>
      <c r="BP11" s="49">
        <f t="shared" si="17"/>
        <v>4</v>
      </c>
      <c r="BR11" s="56">
        <v>6</v>
      </c>
      <c r="BS11" s="53">
        <v>11</v>
      </c>
      <c r="BU11" s="62">
        <v>4</v>
      </c>
      <c r="BV11" s="13" t="str">
        <f t="shared" si="18"/>
        <v>Parpol D</v>
      </c>
      <c r="BW11" s="15">
        <v>1</v>
      </c>
      <c r="BX11" s="15">
        <f t="shared" si="19"/>
        <v>1</v>
      </c>
      <c r="BY11" s="15">
        <f t="shared" si="20"/>
        <v>1</v>
      </c>
      <c r="BZ11" s="15">
        <f t="shared" si="21"/>
        <v>1</v>
      </c>
      <c r="CA11" s="15">
        <f t="shared" si="22"/>
        <v>1</v>
      </c>
      <c r="CB11" s="15">
        <f t="shared" si="23"/>
        <v>1</v>
      </c>
      <c r="CC11" s="15">
        <f t="shared" si="24"/>
        <v>1</v>
      </c>
      <c r="CD11" s="63">
        <f t="shared" si="25"/>
        <v>1</v>
      </c>
    </row>
    <row r="12" spans="1:82" x14ac:dyDescent="0.25">
      <c r="B12" s="109">
        <v>8</v>
      </c>
      <c r="C12" s="95" t="s">
        <v>38</v>
      </c>
      <c r="D12" s="96">
        <v>23187955</v>
      </c>
      <c r="E12" s="97">
        <f t="shared" si="2"/>
        <v>0.18464312474998021</v>
      </c>
      <c r="F12" s="98"/>
      <c r="G12" s="95"/>
      <c r="H12" s="110"/>
      <c r="I12" s="132">
        <f t="shared" si="3"/>
        <v>0.04</v>
      </c>
      <c r="BA12" s="26">
        <v>7</v>
      </c>
      <c r="BB12" s="29" t="s">
        <v>21</v>
      </c>
      <c r="BC12" s="31">
        <v>345781</v>
      </c>
      <c r="BD12" s="37">
        <f t="shared" si="8"/>
        <v>0</v>
      </c>
      <c r="BF12" s="153">
        <v>7</v>
      </c>
      <c r="BG12" s="3"/>
      <c r="BJ12" s="45">
        <f t="shared" si="1"/>
        <v>7</v>
      </c>
      <c r="BK12" s="46" t="str">
        <f t="shared" si="15"/>
        <v>Parpol G</v>
      </c>
      <c r="BL12" s="47">
        <f t="shared" si="15"/>
        <v>345781</v>
      </c>
      <c r="BM12" s="48">
        <f t="shared" si="9"/>
        <v>1</v>
      </c>
      <c r="BN12" s="48">
        <f t="shared" si="10"/>
        <v>1</v>
      </c>
      <c r="BO12" s="47">
        <f t="shared" si="16"/>
        <v>345781</v>
      </c>
      <c r="BP12" s="49">
        <f t="shared" si="17"/>
        <v>5</v>
      </c>
      <c r="BR12" s="56">
        <v>7</v>
      </c>
      <c r="BS12" s="53">
        <v>13</v>
      </c>
      <c r="BU12" s="62">
        <v>5</v>
      </c>
      <c r="BV12" s="13" t="str">
        <f t="shared" si="18"/>
        <v>Parpol E</v>
      </c>
      <c r="BW12" s="15">
        <v>1</v>
      </c>
      <c r="BX12" s="15">
        <f t="shared" si="19"/>
        <v>1</v>
      </c>
      <c r="BY12" s="15">
        <f t="shared" si="20"/>
        <v>1</v>
      </c>
      <c r="BZ12" s="15">
        <f t="shared" si="21"/>
        <v>1</v>
      </c>
      <c r="CA12" s="15">
        <f t="shared" si="22"/>
        <v>1</v>
      </c>
      <c r="CB12" s="15">
        <f t="shared" si="23"/>
        <v>1</v>
      </c>
      <c r="CC12" s="15">
        <f t="shared" si="24"/>
        <v>1</v>
      </c>
      <c r="CD12" s="63">
        <f t="shared" si="25"/>
        <v>1</v>
      </c>
    </row>
    <row r="13" spans="1:82" ht="15.75" thickBot="1" x14ac:dyDescent="0.3">
      <c r="B13" s="109">
        <v>9</v>
      </c>
      <c r="C13" s="95" t="s">
        <v>39</v>
      </c>
      <c r="D13" s="96">
        <v>6245784</v>
      </c>
      <c r="E13" s="97">
        <f t="shared" si="2"/>
        <v>4.9734488197576296E-2</v>
      </c>
      <c r="F13" s="98"/>
      <c r="G13" s="95"/>
      <c r="H13" s="110"/>
      <c r="I13" s="132">
        <f t="shared" si="3"/>
        <v>0.04</v>
      </c>
      <c r="T13" s="38" t="s">
        <v>28</v>
      </c>
      <c r="BA13" s="26">
        <v>8</v>
      </c>
      <c r="BB13" s="30" t="s">
        <v>22</v>
      </c>
      <c r="BC13" s="31">
        <v>1291874</v>
      </c>
      <c r="BD13" s="37">
        <f t="shared" si="8"/>
        <v>0</v>
      </c>
      <c r="BF13" s="153">
        <v>8</v>
      </c>
      <c r="BG13" s="3"/>
      <c r="BJ13" s="45">
        <f t="shared" si="1"/>
        <v>8</v>
      </c>
      <c r="BK13" s="46" t="str">
        <f t="shared" si="15"/>
        <v>Parpol H</v>
      </c>
      <c r="BL13" s="47">
        <f t="shared" si="15"/>
        <v>1291874</v>
      </c>
      <c r="BM13" s="48">
        <f t="shared" si="9"/>
        <v>1</v>
      </c>
      <c r="BN13" s="48">
        <f t="shared" si="10"/>
        <v>1</v>
      </c>
      <c r="BO13" s="47">
        <f t="shared" si="16"/>
        <v>1291874</v>
      </c>
      <c r="BP13" s="49">
        <f t="shared" si="17"/>
        <v>1</v>
      </c>
      <c r="BR13" s="57">
        <v>8</v>
      </c>
      <c r="BS13" s="54">
        <v>15</v>
      </c>
      <c r="BU13" s="62">
        <v>6</v>
      </c>
      <c r="BV13" s="13" t="str">
        <f t="shared" si="18"/>
        <v>Parpol F</v>
      </c>
      <c r="BW13" s="15">
        <v>1</v>
      </c>
      <c r="BX13" s="15">
        <f t="shared" si="19"/>
        <v>1</v>
      </c>
      <c r="BY13" s="15">
        <f t="shared" si="20"/>
        <v>1</v>
      </c>
      <c r="BZ13" s="15">
        <f t="shared" si="21"/>
        <v>1</v>
      </c>
      <c r="CA13" s="15">
        <f t="shared" si="22"/>
        <v>1</v>
      </c>
      <c r="CB13" s="15">
        <f t="shared" si="23"/>
        <v>1</v>
      </c>
      <c r="CC13" s="15">
        <f t="shared" si="24"/>
        <v>1</v>
      </c>
      <c r="CD13" s="63">
        <f t="shared" si="25"/>
        <v>1</v>
      </c>
    </row>
    <row r="14" spans="1:82" x14ac:dyDescent="0.25">
      <c r="B14" s="109">
        <v>10</v>
      </c>
      <c r="C14" s="95" t="s">
        <v>40</v>
      </c>
      <c r="D14" s="96">
        <v>1245879</v>
      </c>
      <c r="E14" s="97">
        <f t="shared" si="2"/>
        <v>9.9207968801207601E-3</v>
      </c>
      <c r="F14" s="98"/>
      <c r="G14" s="95"/>
      <c r="H14" s="110"/>
      <c r="I14" s="132">
        <f t="shared" si="3"/>
        <v>0.04</v>
      </c>
      <c r="T14" s="6"/>
      <c r="U14" s="8"/>
      <c r="V14" s="170" t="s">
        <v>19</v>
      </c>
      <c r="W14" s="170"/>
      <c r="X14" s="170"/>
      <c r="Y14" s="7">
        <f>Y15</f>
        <v>4</v>
      </c>
      <c r="Z14" s="7">
        <f t="shared" ref="Z14:AA14" si="26">Z15</f>
        <v>5</v>
      </c>
      <c r="AA14" s="7">
        <f t="shared" si="26"/>
        <v>6</v>
      </c>
      <c r="BA14" s="27"/>
      <c r="BB14" s="27" t="s">
        <v>18</v>
      </c>
      <c r="BC14" s="32">
        <f>SUM(BC6:BC13)</f>
        <v>4334634</v>
      </c>
      <c r="BD14" s="34">
        <f>SUM(BD6:BD13)</f>
        <v>0</v>
      </c>
      <c r="BF14" s="153"/>
      <c r="BJ14" s="160" t="s">
        <v>18</v>
      </c>
      <c r="BK14" s="160"/>
      <c r="BL14" s="68">
        <f>SUM(BL6:BL13)</f>
        <v>4334634</v>
      </c>
      <c r="BM14" s="159" t="s">
        <v>26</v>
      </c>
      <c r="BN14" s="160"/>
      <c r="BO14" s="161"/>
      <c r="BP14" s="43" t="str">
        <f ca="1">OFFSET(BK5,MATCH(1,BP6:BP19,0),0)</f>
        <v>Parpol H</v>
      </c>
      <c r="BU14" s="62">
        <v>7</v>
      </c>
      <c r="BV14" s="13" t="str">
        <f t="shared" si="18"/>
        <v>Parpol G</v>
      </c>
      <c r="BW14" s="15">
        <v>1</v>
      </c>
      <c r="BX14" s="15">
        <f t="shared" si="19"/>
        <v>1</v>
      </c>
      <c r="BY14" s="15">
        <f t="shared" si="20"/>
        <v>1</v>
      </c>
      <c r="BZ14" s="15">
        <f t="shared" si="21"/>
        <v>1</v>
      </c>
      <c r="CA14" s="15">
        <f t="shared" si="22"/>
        <v>1</v>
      </c>
      <c r="CB14" s="15">
        <f t="shared" si="23"/>
        <v>1</v>
      </c>
      <c r="CC14" s="15">
        <f t="shared" si="24"/>
        <v>1</v>
      </c>
      <c r="CD14" s="63">
        <f t="shared" si="25"/>
        <v>1</v>
      </c>
    </row>
    <row r="15" spans="1:82" ht="15.75" thickBot="1" x14ac:dyDescent="0.3">
      <c r="B15" s="109">
        <v>11</v>
      </c>
      <c r="C15" s="95" t="s">
        <v>41</v>
      </c>
      <c r="D15" s="96">
        <v>32657944</v>
      </c>
      <c r="E15" s="97">
        <f t="shared" si="2"/>
        <v>0.2600516012761741</v>
      </c>
      <c r="F15" s="98"/>
      <c r="G15" s="95"/>
      <c r="H15" s="110"/>
      <c r="I15" s="132">
        <f t="shared" si="3"/>
        <v>0.04</v>
      </c>
      <c r="T15" s="6" t="s">
        <v>14</v>
      </c>
      <c r="U15" s="8" t="s">
        <v>9</v>
      </c>
      <c r="V15" s="10">
        <v>1</v>
      </c>
      <c r="W15" s="10">
        <v>2</v>
      </c>
      <c r="X15" s="11">
        <v>3</v>
      </c>
      <c r="Y15" s="7">
        <f>IF($Q4&gt;X15,X15+1,"")</f>
        <v>4</v>
      </c>
      <c r="Z15" s="7">
        <f>IF($Q4&gt;Y15,Y15+1,"")</f>
        <v>5</v>
      </c>
      <c r="AA15" s="7">
        <f>IF($Q4&gt;Z15,Z15+1,"")</f>
        <v>6</v>
      </c>
      <c r="AC15" s="167">
        <v>2</v>
      </c>
      <c r="AD15" s="167"/>
      <c r="AE15" s="167"/>
      <c r="AK15" s="167">
        <f>IF($Q4&gt;AK4,AK4+1,"")</f>
        <v>4</v>
      </c>
      <c r="AL15" s="167"/>
      <c r="AM15" s="167"/>
      <c r="AS15" s="167">
        <f>IF($Q4&gt;AS4,AS4+1,"")</f>
        <v>6</v>
      </c>
      <c r="AT15" s="167"/>
      <c r="AU15" s="167"/>
      <c r="BA15" s="128"/>
      <c r="BB15" s="129"/>
      <c r="BC15" s="125"/>
      <c r="BD15" s="123"/>
      <c r="BJ15" s="123"/>
      <c r="BK15" s="124"/>
      <c r="BL15" s="125"/>
      <c r="BM15" s="126"/>
      <c r="BN15" s="126"/>
      <c r="BO15" s="125"/>
      <c r="BP15" s="127"/>
      <c r="BU15" s="64">
        <v>8</v>
      </c>
      <c r="BV15" s="65" t="str">
        <f t="shared" si="18"/>
        <v>Parpol H</v>
      </c>
      <c r="BW15" s="66">
        <v>1</v>
      </c>
      <c r="BX15" s="66">
        <f t="shared" si="19"/>
        <v>1</v>
      </c>
      <c r="BY15" s="66">
        <f t="shared" si="20"/>
        <v>1</v>
      </c>
      <c r="BZ15" s="66">
        <f t="shared" si="21"/>
        <v>1</v>
      </c>
      <c r="CA15" s="66">
        <f t="shared" si="22"/>
        <v>1</v>
      </c>
      <c r="CB15" s="66">
        <f t="shared" si="23"/>
        <v>1</v>
      </c>
      <c r="CC15" s="66">
        <f t="shared" si="24"/>
        <v>1</v>
      </c>
      <c r="CD15" s="67">
        <f t="shared" si="25"/>
        <v>1</v>
      </c>
    </row>
    <row r="16" spans="1:82" ht="15.75" thickBot="1" x14ac:dyDescent="0.3">
      <c r="B16" s="109">
        <v>12</v>
      </c>
      <c r="C16" s="95" t="s">
        <v>42</v>
      </c>
      <c r="D16" s="96">
        <v>2357984</v>
      </c>
      <c r="E16" s="97">
        <f t="shared" si="2"/>
        <v>1.8776366172457093E-2</v>
      </c>
      <c r="F16" s="98"/>
      <c r="G16" s="95"/>
      <c r="H16" s="110"/>
      <c r="I16" s="132">
        <f t="shared" si="3"/>
        <v>0.04</v>
      </c>
      <c r="T16" s="6"/>
      <c r="U16" s="8"/>
      <c r="V16" s="171" t="s">
        <v>15</v>
      </c>
      <c r="W16" s="172"/>
      <c r="X16" s="172"/>
      <c r="Y16" s="7">
        <f>Y15</f>
        <v>4</v>
      </c>
      <c r="Z16" s="7">
        <f>Z15</f>
        <v>5</v>
      </c>
      <c r="AA16" s="7">
        <f>AA15</f>
        <v>6</v>
      </c>
      <c r="AC16" s="6" t="s">
        <v>16</v>
      </c>
      <c r="AD16" s="16" t="s">
        <v>9</v>
      </c>
      <c r="AE16" s="16" t="s">
        <v>0</v>
      </c>
      <c r="AF16" s="16" t="s">
        <v>11</v>
      </c>
      <c r="AG16" s="16" t="s">
        <v>1</v>
      </c>
      <c r="AH16" s="16" t="s">
        <v>10</v>
      </c>
      <c r="AI16" s="6" t="s">
        <v>12</v>
      </c>
      <c r="AK16" s="153" t="str">
        <f t="shared" ref="AK16:AQ21" si="27">IF($AK$15="","",AK5)</f>
        <v>No Urut</v>
      </c>
      <c r="AL16" s="153" t="str">
        <f t="shared" si="27"/>
        <v>Partai</v>
      </c>
      <c r="AM16" s="153" t="str">
        <f t="shared" si="27"/>
        <v>Suara</v>
      </c>
      <c r="AN16" s="153" t="str">
        <f t="shared" si="27"/>
        <v>Kursi ke-</v>
      </c>
      <c r="AO16" s="153" t="str">
        <f t="shared" si="27"/>
        <v>Pembagi</v>
      </c>
      <c r="AP16" s="153" t="str">
        <f t="shared" si="27"/>
        <v>Hasil</v>
      </c>
      <c r="AQ16" s="153" t="str">
        <f t="shared" si="27"/>
        <v>Peringkat</v>
      </c>
      <c r="AS16" s="153" t="str">
        <f t="shared" ref="AS16:AY21" si="28">IF($AS$15="","",AS5)</f>
        <v>No Urut</v>
      </c>
      <c r="AT16" s="153" t="str">
        <f t="shared" si="28"/>
        <v>Partai</v>
      </c>
      <c r="AU16" s="153" t="str">
        <f t="shared" si="28"/>
        <v>Suara</v>
      </c>
      <c r="AV16" s="153" t="str">
        <f t="shared" si="28"/>
        <v>Kursi ke-</v>
      </c>
      <c r="AW16" s="153" t="str">
        <f t="shared" si="28"/>
        <v>Pembagi</v>
      </c>
      <c r="AX16" s="153" t="str">
        <f t="shared" si="28"/>
        <v>Hasil</v>
      </c>
      <c r="AY16" s="153" t="str">
        <f t="shared" si="28"/>
        <v>Peringkat</v>
      </c>
      <c r="BA16" s="128"/>
      <c r="BB16" s="124"/>
      <c r="BC16" s="125"/>
      <c r="BD16" s="123"/>
      <c r="BJ16" s="123"/>
      <c r="BK16" s="124"/>
      <c r="BL16" s="125"/>
      <c r="BM16" s="126"/>
      <c r="BN16" s="126"/>
      <c r="BO16" s="125"/>
      <c r="BP16" s="127"/>
      <c r="BR16" s="154" t="s">
        <v>27</v>
      </c>
      <c r="BS16" s="154"/>
      <c r="BU16" s="130"/>
      <c r="BV16" s="131"/>
      <c r="BW16" s="130"/>
      <c r="BX16" s="130"/>
      <c r="BY16" s="130"/>
      <c r="BZ16" s="130"/>
      <c r="CA16" s="130"/>
      <c r="CB16" s="130"/>
      <c r="CC16" s="130"/>
      <c r="CD16" s="130"/>
    </row>
    <row r="17" spans="2:82" x14ac:dyDescent="0.25">
      <c r="B17" s="109">
        <v>13</v>
      </c>
      <c r="C17" s="95" t="s">
        <v>43</v>
      </c>
      <c r="D17" s="96">
        <v>3698785</v>
      </c>
      <c r="E17" s="97">
        <f t="shared" si="2"/>
        <v>2.9453016455239605E-2</v>
      </c>
      <c r="F17" s="98"/>
      <c r="G17" s="95"/>
      <c r="H17" s="110"/>
      <c r="I17" s="132">
        <f t="shared" si="3"/>
        <v>0.04</v>
      </c>
      <c r="T17" s="142">
        <v>1</v>
      </c>
      <c r="U17" s="143" t="str">
        <f>P6</f>
        <v>Parpol A</v>
      </c>
      <c r="V17" s="144">
        <v>1</v>
      </c>
      <c r="W17" s="144">
        <f>COUNTIF(U$6:U$6,U17)+1</f>
        <v>1</v>
      </c>
      <c r="X17" s="144">
        <f>COUNTIF(U$6:U$7,U17)+1</f>
        <v>1</v>
      </c>
      <c r="Y17" s="144">
        <f>IF(Y$15="","",COUNTIF(U$6:U$8,U17)+1)</f>
        <v>1</v>
      </c>
      <c r="Z17" s="144">
        <f>IF(Z$15="","",COUNTIF(U$6:U$9,U17)+1)</f>
        <v>1</v>
      </c>
      <c r="AA17" s="145">
        <f>IF(AA$15="","",COUNTIF(U$6:U$10,U17)+1)</f>
        <v>1</v>
      </c>
      <c r="AC17" s="15">
        <v>1</v>
      </c>
      <c r="AD17" s="13" t="str">
        <f t="shared" ref="AD17:AE21" si="29">AD6</f>
        <v>Parpol A</v>
      </c>
      <c r="AE17" s="14">
        <f t="shared" si="29"/>
        <v>548221</v>
      </c>
      <c r="AF17" s="18">
        <f>IF(AC15="","",VLOOKUP(AC17,Kursi,AC$15+2))</f>
        <v>1</v>
      </c>
      <c r="AG17" s="18">
        <f>VLOOKUP(AF17,Bagi,2)</f>
        <v>1</v>
      </c>
      <c r="AH17" s="14">
        <f>AE17/AG17</f>
        <v>548221</v>
      </c>
      <c r="AI17" s="18">
        <f>RANK(AH17,AH$17:AH$21,0)</f>
        <v>3</v>
      </c>
      <c r="AK17" s="153">
        <f t="shared" si="27"/>
        <v>1</v>
      </c>
      <c r="AL17" s="3" t="str">
        <f t="shared" si="27"/>
        <v>Parpol A</v>
      </c>
      <c r="AM17" s="4">
        <f t="shared" si="27"/>
        <v>548221</v>
      </c>
      <c r="AN17" s="4">
        <f>IF(AK15="","",VLOOKUP(AK17,Kursi,AK$15+2))</f>
        <v>1</v>
      </c>
      <c r="AO17" s="4">
        <f>IF(AK15="","",VLOOKUP(AN17,Bagi,2))</f>
        <v>1</v>
      </c>
      <c r="AP17" s="4">
        <f>IF(AO17="","",AM17/AO17)</f>
        <v>548221</v>
      </c>
      <c r="AQ17" s="4">
        <f>IF(AO17="","",RANK(AP17,AP$17:AP$21,0))</f>
        <v>3</v>
      </c>
      <c r="AS17" s="153">
        <f t="shared" si="28"/>
        <v>1</v>
      </c>
      <c r="AT17" s="3" t="str">
        <f t="shared" si="28"/>
        <v>Parpol A</v>
      </c>
      <c r="AU17" s="4">
        <f t="shared" si="28"/>
        <v>548221</v>
      </c>
      <c r="AV17" s="17">
        <f>IF(AS15="","",VLOOKUP(AS17,Kursi,AS$15+2))</f>
        <v>1</v>
      </c>
      <c r="AW17" s="17">
        <f>IF(AS15="","",VLOOKUP(AV17,Bagi,2))</f>
        <v>1</v>
      </c>
      <c r="AX17" s="4">
        <f>IF(AW17="","",AU17/AW17)</f>
        <v>548221</v>
      </c>
      <c r="AY17" s="17">
        <f>IF(AW17="","",RANK(AX17,AX$17:AX$21,0))</f>
        <v>3</v>
      </c>
      <c r="BA17" s="128"/>
      <c r="BB17" s="129"/>
      <c r="BC17" s="125"/>
      <c r="BD17" s="123"/>
      <c r="BJ17" s="123"/>
      <c r="BK17" s="124"/>
      <c r="BL17" s="125"/>
      <c r="BM17" s="126"/>
      <c r="BN17" s="126"/>
      <c r="BO17" s="125"/>
      <c r="BP17" s="127"/>
      <c r="BU17" s="130"/>
      <c r="BV17" s="131"/>
      <c r="BW17" s="130"/>
      <c r="BX17" s="130"/>
      <c r="BY17" s="130"/>
      <c r="BZ17" s="130"/>
      <c r="CA17" s="130"/>
      <c r="CB17" s="130"/>
      <c r="CC17" s="130"/>
      <c r="CD17" s="130"/>
    </row>
    <row r="18" spans="2:82" x14ac:dyDescent="0.25">
      <c r="B18" s="109">
        <v>14</v>
      </c>
      <c r="C18" s="95" t="s">
        <v>44</v>
      </c>
      <c r="D18" s="96">
        <v>2312478</v>
      </c>
      <c r="E18" s="97">
        <f t="shared" si="2"/>
        <v>1.8414006920212875E-2</v>
      </c>
      <c r="F18" s="98"/>
      <c r="G18" s="95"/>
      <c r="H18" s="110"/>
      <c r="I18" s="132">
        <f t="shared" si="3"/>
        <v>0.04</v>
      </c>
      <c r="T18" s="146">
        <v>2</v>
      </c>
      <c r="U18" s="131" t="str">
        <f>P7</f>
        <v>Parpol B</v>
      </c>
      <c r="V18" s="130">
        <v>1</v>
      </c>
      <c r="W18" s="130">
        <f>COUNTIF(U$6:U$6,U18)+1</f>
        <v>1</v>
      </c>
      <c r="X18" s="130">
        <f>COUNTIF(U$6:U$7,U18)+1</f>
        <v>1</v>
      </c>
      <c r="Y18" s="130">
        <f>IF(Y$15="","",COUNTIF(U$6:U$8,U18)+1)</f>
        <v>1</v>
      </c>
      <c r="Z18" s="130">
        <f>IF(Z$15="","",COUNTIF(U$6:U$9,U18)+1)</f>
        <v>1</v>
      </c>
      <c r="AA18" s="147">
        <f>IF(AA$15="","",COUNTIF(U$6:U$10,U18)+1)</f>
        <v>1</v>
      </c>
      <c r="AC18" s="15">
        <v>2</v>
      </c>
      <c r="AD18" s="13" t="str">
        <f t="shared" si="29"/>
        <v>Parpol B</v>
      </c>
      <c r="AE18" s="14">
        <f t="shared" si="29"/>
        <v>918101</v>
      </c>
      <c r="AF18" s="18">
        <f>IF(AC16="","",VLOOKUP(AC18,Kursi,AC$15+2))</f>
        <v>1</v>
      </c>
      <c r="AG18" s="18">
        <f>VLOOKUP(AF18,Bagi,2)</f>
        <v>1</v>
      </c>
      <c r="AH18" s="14">
        <f t="shared" ref="AH18:AH21" si="30">AE18/AG18</f>
        <v>918101</v>
      </c>
      <c r="AI18" s="18">
        <f>RANK(AH18,AH$17:AH$21,0)</f>
        <v>1</v>
      </c>
      <c r="AK18" s="153">
        <f t="shared" si="27"/>
        <v>2</v>
      </c>
      <c r="AL18" s="3" t="str">
        <f t="shared" si="27"/>
        <v>Parpol B</v>
      </c>
      <c r="AM18" s="4">
        <f t="shared" si="27"/>
        <v>918101</v>
      </c>
      <c r="AN18" s="4">
        <f>IF(AK16="","",VLOOKUP(AK18,Kursi,AK$15+2))</f>
        <v>1</v>
      </c>
      <c r="AO18" s="4">
        <f>IF(AL16="","",VLOOKUP(AN18,Bagi,2))</f>
        <v>1</v>
      </c>
      <c r="AP18" s="4">
        <f t="shared" ref="AP18:AP21" si="31">IF(AO18="","",AM18/AO18)</f>
        <v>918101</v>
      </c>
      <c r="AQ18" s="4">
        <f>IF(AO18="","",RANK(AP18,AP$17:AP$21,0))</f>
        <v>1</v>
      </c>
      <c r="AS18" s="153">
        <f t="shared" si="28"/>
        <v>2</v>
      </c>
      <c r="AT18" s="3" t="str">
        <f t="shared" si="28"/>
        <v>Parpol B</v>
      </c>
      <c r="AU18" s="4">
        <f t="shared" si="28"/>
        <v>918101</v>
      </c>
      <c r="AV18" s="17">
        <f>IF(AS16="","",VLOOKUP(AS18,Kursi,AS$15+2))</f>
        <v>1</v>
      </c>
      <c r="AW18" s="17">
        <f>IF(AT16="","",VLOOKUP(AV18,Bagi,2))</f>
        <v>1</v>
      </c>
      <c r="AX18" s="4">
        <f t="shared" ref="AX18:AX21" si="32">IF(AW18="","",AU18/AW18)</f>
        <v>918101</v>
      </c>
      <c r="AY18" s="17">
        <f>IF(AW18="","",RANK(AX18,AX$17:AX$21,0))</f>
        <v>1</v>
      </c>
      <c r="BA18" s="128"/>
      <c r="BB18" s="124"/>
      <c r="BC18" s="125"/>
      <c r="BD18" s="123"/>
      <c r="BJ18" s="123"/>
      <c r="BK18" s="124"/>
      <c r="BL18" s="125"/>
      <c r="BM18" s="126"/>
      <c r="BN18" s="126"/>
      <c r="BO18" s="125"/>
      <c r="BP18" s="127"/>
      <c r="BU18" s="154" t="s">
        <v>29</v>
      </c>
      <c r="BV18" s="154"/>
      <c r="BW18" s="154"/>
      <c r="BX18" s="154"/>
      <c r="BY18" s="154"/>
      <c r="BZ18" s="154"/>
      <c r="CA18" s="154"/>
      <c r="CB18" s="154"/>
      <c r="CC18" s="154"/>
      <c r="CD18" s="154"/>
    </row>
    <row r="19" spans="2:82" x14ac:dyDescent="0.25">
      <c r="B19" s="111">
        <v>15</v>
      </c>
      <c r="C19" s="112" t="s">
        <v>45</v>
      </c>
      <c r="D19" s="113">
        <v>3897441</v>
      </c>
      <c r="E19" s="114">
        <f t="shared" si="2"/>
        <v>3.103489224335167E-2</v>
      </c>
      <c r="F19" s="115"/>
      <c r="G19" s="112"/>
      <c r="H19" s="116"/>
      <c r="I19" s="132">
        <f t="shared" si="3"/>
        <v>0.04</v>
      </c>
      <c r="T19" s="146">
        <v>3</v>
      </c>
      <c r="U19" s="131" t="str">
        <f>P8</f>
        <v>Parpol C</v>
      </c>
      <c r="V19" s="130">
        <v>1</v>
      </c>
      <c r="W19" s="130">
        <f>COUNTIF(U$6:U$6,U19)+1</f>
        <v>1</v>
      </c>
      <c r="X19" s="130">
        <f>COUNTIF(U$6:U$7,U19)+1</f>
        <v>1</v>
      </c>
      <c r="Y19" s="130">
        <f>IF(Y$15="","",COUNTIF(U$6:U$8,U19)+1)</f>
        <v>1</v>
      </c>
      <c r="Z19" s="130">
        <f>IF(Z$15="","",COUNTIF(U$6:U$9,U19)+1)</f>
        <v>1</v>
      </c>
      <c r="AA19" s="147">
        <f>IF(AA$15="","",COUNTIF(U$6:U$10,U19)+1)</f>
        <v>1</v>
      </c>
      <c r="AC19" s="15">
        <v>3</v>
      </c>
      <c r="AD19" s="13" t="str">
        <f t="shared" si="29"/>
        <v>Parpol C</v>
      </c>
      <c r="AE19" s="14">
        <f t="shared" si="29"/>
        <v>687251</v>
      </c>
      <c r="AF19" s="18">
        <f>IF(AC17="","",VLOOKUP(AC19,Kursi,AC$15+2))</f>
        <v>1</v>
      </c>
      <c r="AG19" s="18">
        <f>VLOOKUP(AF19,Bagi,2)</f>
        <v>1</v>
      </c>
      <c r="AH19" s="14">
        <f t="shared" si="30"/>
        <v>687251</v>
      </c>
      <c r="AI19" s="18">
        <f>RANK(AH19,AH$17:AH$21,0)</f>
        <v>2</v>
      </c>
      <c r="AK19" s="153">
        <f t="shared" si="27"/>
        <v>3</v>
      </c>
      <c r="AL19" s="3" t="str">
        <f t="shared" si="27"/>
        <v>Parpol C</v>
      </c>
      <c r="AM19" s="4">
        <f t="shared" si="27"/>
        <v>687251</v>
      </c>
      <c r="AN19" s="4">
        <f>IF(AK17="","",VLOOKUP(AK19,Kursi,AK$15+2))</f>
        <v>1</v>
      </c>
      <c r="AO19" s="4">
        <f>IF(AL17="","",VLOOKUP(AN19,Bagi,2))</f>
        <v>1</v>
      </c>
      <c r="AP19" s="4">
        <f t="shared" si="31"/>
        <v>687251</v>
      </c>
      <c r="AQ19" s="4">
        <f>IF(AO19="","",RANK(AP19,AP$17:AP$21,0))</f>
        <v>2</v>
      </c>
      <c r="AS19" s="153">
        <f t="shared" si="28"/>
        <v>3</v>
      </c>
      <c r="AT19" s="3" t="str">
        <f t="shared" si="28"/>
        <v>Parpol C</v>
      </c>
      <c r="AU19" s="4">
        <f t="shared" si="28"/>
        <v>687251</v>
      </c>
      <c r="AV19" s="17">
        <f>IF(AS17="","",VLOOKUP(AS19,Kursi,AS$15+2))</f>
        <v>1</v>
      </c>
      <c r="AW19" s="17">
        <f>IF(AT17="","",VLOOKUP(AV19,Bagi,2))</f>
        <v>1</v>
      </c>
      <c r="AX19" s="4">
        <f t="shared" si="32"/>
        <v>687251</v>
      </c>
      <c r="AY19" s="17">
        <f>IF(AW19="","",RANK(AX19,AX$17:AX$21,0))</f>
        <v>2</v>
      </c>
      <c r="BA19" s="128"/>
      <c r="BB19" s="129"/>
      <c r="BC19" s="125"/>
      <c r="BD19" s="123"/>
      <c r="BJ19" s="123"/>
      <c r="BK19" s="124"/>
      <c r="BL19" s="125"/>
      <c r="BM19" s="126"/>
      <c r="BN19" s="126"/>
      <c r="BO19" s="125"/>
      <c r="BP19" s="127"/>
      <c r="BU19" s="130"/>
      <c r="BV19" s="131"/>
      <c r="BW19" s="130"/>
      <c r="BX19" s="130"/>
      <c r="BY19" s="130"/>
      <c r="BZ19" s="130"/>
      <c r="CA19" s="130"/>
      <c r="CB19" s="130"/>
      <c r="CC19" s="130"/>
      <c r="CD19" s="130"/>
    </row>
    <row r="20" spans="2:82" x14ac:dyDescent="0.25">
      <c r="B20" s="119"/>
      <c r="C20" s="120" t="s">
        <v>53</v>
      </c>
      <c r="D20" s="117">
        <f>SUM(D5:D19)</f>
        <v>125582553</v>
      </c>
      <c r="E20" s="118">
        <f>SUM(E5:E19)</f>
        <v>0.99999999999999989</v>
      </c>
      <c r="F20" s="102"/>
      <c r="G20" s="102"/>
      <c r="H20" s="102"/>
      <c r="T20" s="146">
        <v>4</v>
      </c>
      <c r="U20" s="131" t="str">
        <f>P9</f>
        <v>Parpol D</v>
      </c>
      <c r="V20" s="130">
        <v>1</v>
      </c>
      <c r="W20" s="130">
        <f>COUNTIF(U$6:U$6,U20)+1</f>
        <v>1</v>
      </c>
      <c r="X20" s="130">
        <f>COUNTIF(U$6:U$7,U20)+1</f>
        <v>1</v>
      </c>
      <c r="Y20" s="130">
        <f>IF(Y$15="","",COUNTIF(U$6:U$8,U20)+1)</f>
        <v>1</v>
      </c>
      <c r="Z20" s="130">
        <f>IF(Z$15="","",COUNTIF(U$6:U$9,U20)+1)</f>
        <v>1</v>
      </c>
      <c r="AA20" s="147">
        <f>IF(AA$15="","",COUNTIF(U$6:U$10,U20)+1)</f>
        <v>1</v>
      </c>
      <c r="AC20" s="15">
        <v>4</v>
      </c>
      <c r="AD20" s="13" t="str">
        <f t="shared" si="29"/>
        <v>Parpol D</v>
      </c>
      <c r="AE20" s="14">
        <f t="shared" si="29"/>
        <v>261214</v>
      </c>
      <c r="AF20" s="18">
        <f>IF(AC18="","",VLOOKUP(AC20,Kursi,AC$15+2))</f>
        <v>1</v>
      </c>
      <c r="AG20" s="18">
        <f>VLOOKUP(AF20,Bagi,2)</f>
        <v>1</v>
      </c>
      <c r="AH20" s="14">
        <f t="shared" si="30"/>
        <v>261214</v>
      </c>
      <c r="AI20" s="18">
        <f>RANK(AH20,AH$17:AH$21,0)</f>
        <v>5</v>
      </c>
      <c r="AK20" s="153">
        <f t="shared" si="27"/>
        <v>4</v>
      </c>
      <c r="AL20" s="3" t="str">
        <f t="shared" si="27"/>
        <v>Parpol D</v>
      </c>
      <c r="AM20" s="4">
        <f t="shared" si="27"/>
        <v>261214</v>
      </c>
      <c r="AN20" s="4">
        <f>IF(AK18="","",VLOOKUP(AK20,Kursi,AK$15+2))</f>
        <v>1</v>
      </c>
      <c r="AO20" s="4">
        <f>IF(AL18="","",VLOOKUP(AN20,Bagi,2))</f>
        <v>1</v>
      </c>
      <c r="AP20" s="4">
        <f t="shared" si="31"/>
        <v>261214</v>
      </c>
      <c r="AQ20" s="4">
        <f>IF(AO20="","",RANK(AP20,AP$17:AP$21,0))</f>
        <v>5</v>
      </c>
      <c r="AS20" s="153">
        <f t="shared" si="28"/>
        <v>4</v>
      </c>
      <c r="AT20" s="3" t="str">
        <f t="shared" si="28"/>
        <v>Parpol D</v>
      </c>
      <c r="AU20" s="4">
        <f t="shared" si="28"/>
        <v>261214</v>
      </c>
      <c r="AV20" s="17">
        <f>IF(AS18="","",VLOOKUP(AS20,Kursi,AS$15+2))</f>
        <v>1</v>
      </c>
      <c r="AW20" s="17">
        <f>IF(AT18="","",VLOOKUP(AV20,Bagi,2))</f>
        <v>1</v>
      </c>
      <c r="AX20" s="4">
        <f t="shared" si="32"/>
        <v>261214</v>
      </c>
      <c r="AY20" s="17">
        <f>IF(AW20="","",RANK(AX20,AX$17:AX$21,0))</f>
        <v>5</v>
      </c>
      <c r="BU20" s="130"/>
      <c r="BV20" s="131"/>
      <c r="BW20" s="130"/>
      <c r="BX20" s="130"/>
      <c r="BY20" s="130"/>
      <c r="BZ20" s="130"/>
      <c r="CA20" s="130"/>
      <c r="CB20" s="130"/>
      <c r="CC20" s="130"/>
      <c r="CD20" s="130"/>
    </row>
    <row r="21" spans="2:82" ht="15.75" thickBot="1" x14ac:dyDescent="0.3">
      <c r="B21" s="93" t="s">
        <v>52</v>
      </c>
      <c r="C21" s="94"/>
      <c r="D21" s="94"/>
      <c r="E21" s="101">
        <f>COUNTA(C5:C19)</f>
        <v>15</v>
      </c>
      <c r="F21" s="102"/>
      <c r="G21" s="102"/>
      <c r="H21" s="102"/>
      <c r="T21" s="148">
        <v>5</v>
      </c>
      <c r="U21" s="149" t="str">
        <f>P10</f>
        <v>Parpol E</v>
      </c>
      <c r="V21" s="150">
        <v>1</v>
      </c>
      <c r="W21" s="150">
        <f>COUNTIF(U$6:U$6,U21)+1</f>
        <v>1</v>
      </c>
      <c r="X21" s="150">
        <f>COUNTIF(U$6:U$7,U21)+1</f>
        <v>1</v>
      </c>
      <c r="Y21" s="150">
        <f>IF(Y$15="","",COUNTIF(U$6:U$8,U21)+1)</f>
        <v>1</v>
      </c>
      <c r="Z21" s="150">
        <f>IF(Z$15="","",COUNTIF(U$6:U$9,U21)+1)</f>
        <v>1</v>
      </c>
      <c r="AA21" s="151">
        <f>IF(AA$15="","",COUNTIF(U$6:U$10,U21)+1)</f>
        <v>1</v>
      </c>
      <c r="AC21" s="19">
        <v>5</v>
      </c>
      <c r="AD21" s="12" t="str">
        <f t="shared" si="29"/>
        <v>Parpol E</v>
      </c>
      <c r="AE21" s="14">
        <f t="shared" si="29"/>
        <v>311987</v>
      </c>
      <c r="AF21" s="21">
        <f>IF(AC19="","",VLOOKUP(AC21,Kursi,AC$15+2))</f>
        <v>1</v>
      </c>
      <c r="AG21" s="21">
        <f>VLOOKUP(AF21,Bagi,2)</f>
        <v>1</v>
      </c>
      <c r="AH21" s="20">
        <f t="shared" si="30"/>
        <v>311987</v>
      </c>
      <c r="AI21" s="21">
        <f>RANK(AH21,AH$17:AH$21,0)</f>
        <v>4</v>
      </c>
      <c r="AK21" s="153">
        <f t="shared" si="27"/>
        <v>5</v>
      </c>
      <c r="AL21" s="3" t="str">
        <f t="shared" si="27"/>
        <v>Parpol E</v>
      </c>
      <c r="AM21" s="4">
        <f t="shared" si="27"/>
        <v>311987</v>
      </c>
      <c r="AN21" s="4">
        <f>IF(AK19="","",VLOOKUP(AK21,Kursi,AK$15+2))</f>
        <v>1</v>
      </c>
      <c r="AO21" s="4">
        <f>IF(AL19="","",VLOOKUP(AN21,Bagi,2))</f>
        <v>1</v>
      </c>
      <c r="AP21" s="4">
        <f t="shared" si="31"/>
        <v>311987</v>
      </c>
      <c r="AQ21" s="4">
        <f>IF(AO21="","",RANK(AP21,AP$17:AP$21,0))</f>
        <v>4</v>
      </c>
      <c r="AS21" s="153">
        <f t="shared" si="28"/>
        <v>5</v>
      </c>
      <c r="AT21" s="3" t="str">
        <f t="shared" si="28"/>
        <v>Parpol E</v>
      </c>
      <c r="AU21" s="4">
        <f t="shared" si="28"/>
        <v>311987</v>
      </c>
      <c r="AV21" s="17">
        <f>IF(AS19="","",VLOOKUP(AS21,Kursi,AS$15+2))</f>
        <v>1</v>
      </c>
      <c r="AW21" s="17">
        <f>IF(AT19="","",VLOOKUP(AV21,Bagi,2))</f>
        <v>1</v>
      </c>
      <c r="AX21" s="4">
        <f t="shared" si="32"/>
        <v>311987</v>
      </c>
      <c r="AY21" s="17">
        <f>IF(AW21="","",RANK(AX21,AX$17:AX$21,0))</f>
        <v>4</v>
      </c>
      <c r="BU21" s="130"/>
      <c r="BV21" s="131"/>
      <c r="BW21" s="130"/>
      <c r="BX21" s="130"/>
      <c r="BY21" s="130"/>
      <c r="BZ21" s="130"/>
      <c r="CA21" s="130"/>
      <c r="CB21" s="130"/>
      <c r="CC21" s="130"/>
      <c r="CD21" s="130"/>
    </row>
    <row r="22" spans="2:82" x14ac:dyDescent="0.25">
      <c r="B22" s="93" t="s">
        <v>51</v>
      </c>
      <c r="C22" s="94"/>
      <c r="D22" s="94"/>
      <c r="E22" s="101">
        <f>COUNTIFS(G5:G19,"Lolos")</f>
        <v>0</v>
      </c>
      <c r="F22" s="102"/>
      <c r="G22" s="102"/>
      <c r="H22" s="102"/>
      <c r="AC22" s="173" t="s">
        <v>18</v>
      </c>
      <c r="AD22" s="174"/>
      <c r="AE22" s="14">
        <f>AE11</f>
        <v>2726774</v>
      </c>
      <c r="AF22" s="164">
        <f>AC15</f>
        <v>2</v>
      </c>
      <c r="AG22" s="165"/>
      <c r="AH22" s="166"/>
      <c r="AI22" s="24"/>
      <c r="AK22" s="154" t="str">
        <f>IF(AK15="","","Jumlah")</f>
        <v>Jumlah</v>
      </c>
      <c r="AL22" s="154"/>
      <c r="AM22" s="4">
        <f>IF($AK$15="","",AM11)</f>
        <v>2726774</v>
      </c>
      <c r="AN22" s="163">
        <f>AK15</f>
        <v>4</v>
      </c>
      <c r="AO22" s="163"/>
      <c r="AP22" s="163"/>
      <c r="AQ22" s="24"/>
      <c r="AS22" s="154" t="str">
        <f>IF(AS15="","","Jumlah")</f>
        <v>Jumlah</v>
      </c>
      <c r="AT22" s="154"/>
      <c r="AU22" s="4">
        <f>IF($AS$15="","",AU11)</f>
        <v>2726774</v>
      </c>
      <c r="AV22" s="162">
        <f>AS15</f>
        <v>6</v>
      </c>
      <c r="AW22" s="162"/>
      <c r="AX22" s="162"/>
      <c r="AY22" s="24"/>
    </row>
    <row r="23" spans="2:82" ht="19.5" customHeight="1" x14ac:dyDescent="0.25"/>
    <row r="24" spans="2:82" x14ac:dyDescent="0.25">
      <c r="E24" s="134"/>
      <c r="T24" s="154" t="s">
        <v>57</v>
      </c>
      <c r="U24" s="154"/>
      <c r="V24" s="154"/>
      <c r="W24" s="154"/>
      <c r="X24" s="154"/>
      <c r="Y24" s="154"/>
      <c r="Z24" s="154"/>
      <c r="AA24" s="154"/>
    </row>
    <row r="26" spans="2:82" ht="19.5" customHeight="1" x14ac:dyDescent="0.25"/>
    <row r="27" spans="2:82" ht="21" customHeight="1" x14ac:dyDescent="0.25"/>
  </sheetData>
  <mergeCells count="28">
    <mergeCell ref="T24:AA24"/>
    <mergeCell ref="V16:X16"/>
    <mergeCell ref="BR16:BS16"/>
    <mergeCell ref="BU18:CD18"/>
    <mergeCell ref="AC22:AD22"/>
    <mergeCell ref="AF22:AH22"/>
    <mergeCell ref="AK22:AL22"/>
    <mergeCell ref="AN22:AP22"/>
    <mergeCell ref="AS22:AT22"/>
    <mergeCell ref="AV22:AX22"/>
    <mergeCell ref="V14:X14"/>
    <mergeCell ref="BJ14:BK14"/>
    <mergeCell ref="BM14:BO14"/>
    <mergeCell ref="AC15:AE15"/>
    <mergeCell ref="AK15:AM15"/>
    <mergeCell ref="AS15:AU15"/>
    <mergeCell ref="L10:M10"/>
    <mergeCell ref="AC11:AD11"/>
    <mergeCell ref="AF11:AG11"/>
    <mergeCell ref="AN11:AP11"/>
    <mergeCell ref="AS11:AT11"/>
    <mergeCell ref="AV11:AX11"/>
    <mergeCell ref="BA3:BC3"/>
    <mergeCell ref="AC4:AE4"/>
    <mergeCell ref="AK4:AM4"/>
    <mergeCell ref="AS4:AU4"/>
    <mergeCell ref="BW5:CD5"/>
    <mergeCell ref="BW7:CD7"/>
  </mergeCells>
  <conditionalFormatting sqref="Y16:AA16 Y14:AA14">
    <cfRule type="notContainsBlanks" dxfId="10" priority="10">
      <formula>LEN(TRIM(Y14))&gt;0</formula>
    </cfRule>
  </conditionalFormatting>
  <conditionalFormatting sqref="Y15:AA15">
    <cfRule type="notContainsBlanks" dxfId="9" priority="11">
      <formula>LEN(TRIM(Y15))&gt;0</formula>
    </cfRule>
  </conditionalFormatting>
  <conditionalFormatting sqref="T17:AA21">
    <cfRule type="notContainsBlanks" dxfId="8" priority="9">
      <formula>LEN(TRIM(T17))&gt;0</formula>
    </cfRule>
  </conditionalFormatting>
  <conditionalFormatting sqref="T6:U11">
    <cfRule type="notContainsBlanks" dxfId="7" priority="8">
      <formula>LEN(TRIM(T6))&gt;0</formula>
    </cfRule>
  </conditionalFormatting>
  <conditionalFormatting sqref="AS5:AY5 AS16:AY16 AK16:AQ16">
    <cfRule type="notContainsBlanks" dxfId="6" priority="7">
      <formula>LEN(TRIM(AK5))&gt;0</formula>
    </cfRule>
  </conditionalFormatting>
  <conditionalFormatting sqref="AL16:AP16 AT5:AX5 AT16:AX16">
    <cfRule type="notContainsBlanks" dxfId="5" priority="6">
      <formula>LEN(TRIM(AL5))&gt;0</formula>
    </cfRule>
  </conditionalFormatting>
  <conditionalFormatting sqref="AS6:AY10 AS17:AY21 AK17:AQ21">
    <cfRule type="notContainsBlanks" dxfId="4" priority="5">
      <formula>LEN(TRIM(AK6))&gt;0</formula>
    </cfRule>
  </conditionalFormatting>
  <conditionalFormatting sqref="AS17:AY22 AS6:AY11 AK17:AQ22 AK6:AQ11">
    <cfRule type="notContainsBlanks" dxfId="3" priority="4">
      <formula>LEN(TRIM(AK6))&gt;0</formula>
    </cfRule>
  </conditionalFormatting>
  <conditionalFormatting sqref="AI22">
    <cfRule type="notContainsBlanks" dxfId="2" priority="3">
      <formula>LEN(TRIM(AI22))&gt;0</formula>
    </cfRule>
  </conditionalFormatting>
  <conditionalFormatting sqref="AH11">
    <cfRule type="notContainsBlanks" dxfId="1" priority="2">
      <formula>LEN(TRIM(AH11))&gt;0</formula>
    </cfRule>
  </conditionalFormatting>
  <conditionalFormatting sqref="BF6:BG8 BF9:BF14 BG9:BG13">
    <cfRule type="notContainsBlanks" dxfId="0" priority="1">
      <formula>LEN(TRIM(BF6))&gt;0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Scroll Bar 1">
              <controlPr defaultSize="0" autoPict="0">
                <anchor moveWithCells="1">
                  <from>
                    <xdr:col>15</xdr:col>
                    <xdr:colOff>600075</xdr:colOff>
                    <xdr:row>3</xdr:row>
                    <xdr:rowOff>28575</xdr:rowOff>
                  </from>
                  <to>
                    <xdr:col>16</xdr:col>
                    <xdr:colOff>228600</xdr:colOff>
                    <xdr:row>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4" name="Scroll Bar 2">
              <controlPr defaultSize="0" autoPict="0">
                <anchor moveWithCells="1">
                  <from>
                    <xdr:col>63</xdr:col>
                    <xdr:colOff>142875</xdr:colOff>
                    <xdr:row>3</xdr:row>
                    <xdr:rowOff>19050</xdr:rowOff>
                  </from>
                  <to>
                    <xdr:col>63</xdr:col>
                    <xdr:colOff>628650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5" name="Scroll Bar 3">
              <controlPr defaultSize="0" autoPict="0">
                <anchor moveWithCells="1">
                  <from>
                    <xdr:col>3</xdr:col>
                    <xdr:colOff>228600</xdr:colOff>
                    <xdr:row>2</xdr:row>
                    <xdr:rowOff>19050</xdr:rowOff>
                  </from>
                  <to>
                    <xdr:col>3</xdr:col>
                    <xdr:colOff>714375</xdr:colOff>
                    <xdr:row>2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HeadingPairs>
  <TitlesOfParts>
    <vt:vector size="10" baseType="lpstr">
      <vt:lpstr>KASUS</vt:lpstr>
      <vt:lpstr>LATIH</vt:lpstr>
      <vt:lpstr>KASUS!Bagi</vt:lpstr>
      <vt:lpstr>LATIH!Bagi</vt:lpstr>
      <vt:lpstr>KASUS!Bagi2</vt:lpstr>
      <vt:lpstr>LATIH!Bagi2</vt:lpstr>
      <vt:lpstr>KASUS!Kursi</vt:lpstr>
      <vt:lpstr>LATIH!Kursi</vt:lpstr>
      <vt:lpstr>KASUS!Kursi2</vt:lpstr>
      <vt:lpstr>LATIH!Kursi2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Pribadi</dc:creator>
  <cp:lastModifiedBy>user</cp:lastModifiedBy>
  <dcterms:created xsi:type="dcterms:W3CDTF">2019-04-24T05:45:42Z</dcterms:created>
  <dcterms:modified xsi:type="dcterms:W3CDTF">2019-05-29T15:57:03Z</dcterms:modified>
</cp:coreProperties>
</file>